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320" activeTab="0"/>
  </bookViews>
  <sheets>
    <sheet name="FSCalculator" sheetId="1" r:id="rId1"/>
    <sheet name="Help" sheetId="2" r:id="rId2"/>
    <sheet name="Data" sheetId="3" r:id="rId3"/>
    <sheet name="Notes" sheetId="4" r:id="rId4"/>
  </sheets>
  <definedNames>
    <definedName name="_EditDate">'Data'!$B$3</definedName>
    <definedName name="BenefitCalc_Final">'FSCalculator'!$C$51</definedName>
    <definedName name="BenefitCalc_Initial">'FSCalculator'!$J$48</definedName>
    <definedName name="Calculated_Benefit">'FSCalculator'!$C$51</definedName>
    <definedName name="CashOnHand">'FSCalculator'!$C$15</definedName>
    <definedName name="DCA_OverTwoElderly">'Data'!$C$92</definedName>
    <definedName name="DCA_TwoAndUnder">'Data'!$C$91</definedName>
    <definedName name="EarnedIncomeDisregard">'FSCalculator'!$C$17</definedName>
    <definedName name="FPIG_Net_Inc_CountAdditional">'Data'!$B$106</definedName>
    <definedName name="FPIG_Net_Inc_CountAdditionalDollar">'Data'!$C$106</definedName>
    <definedName name="FPIG_Net_Inc_CountMax">'Data'!$B$105</definedName>
    <definedName name="FPIG_Net_Inc_CountMaxDollar">'Data'!$C$105</definedName>
    <definedName name="FPIG_Net_Inc_Limit_Table">'Data'!$B$96:$C$105</definedName>
    <definedName name="GrIncLimCalc">'Data'!$C$32</definedName>
    <definedName name="GrIncLimCalcELD">'Data'!$C$52</definedName>
    <definedName name="Gross_Add_Count">'Data'!$B$26</definedName>
    <definedName name="Gross_Add_Dollar">'Data'!$C$26</definedName>
    <definedName name="Gross_Add_DollarELD">'Data'!$C$46</definedName>
    <definedName name="Gross_Inc_CountMax">'Data'!$B$25</definedName>
    <definedName name="Gross_Inc_CountMaxDollar">'Data'!$C$25</definedName>
    <definedName name="Gross_Inc_CountMaxDollarELD">'Data'!$C$45</definedName>
    <definedName name="Gross_Inc_CountMaxELD">'Data'!$B$45</definedName>
    <definedName name="Gross_Inc_HH">'FSCalculator'!$C$20</definedName>
    <definedName name="Gross_Inc_Limit">'FSCalculator'!$J$16</definedName>
    <definedName name="Gross_Income_Limit_Table">'Data'!$B$16:$C$25</definedName>
    <definedName name="Help_Calc_XS_Shelter">'Help'!$A$105</definedName>
    <definedName name="Help_Def_Monthly_Gross_Earned_Income">'Help'!$A$35</definedName>
    <definedName name="Help_Def_of_Child">'Help'!#REF!</definedName>
    <definedName name="Help_Def_of_Disabled">'Help'!$B$22</definedName>
    <definedName name="Help_Def_of_Elderly">'Help'!$B$19</definedName>
    <definedName name="Help_Def_of_HH">'Help'!$B$8</definedName>
    <definedName name="Help_Def_of_Homeless">'Help'!$B$26</definedName>
    <definedName name="Help_MaxBenefit_and_StdDisregard_Table">'Help'!$A$63</definedName>
    <definedName name="Help_Medical_Expenses">'Help'!$A$87</definedName>
    <definedName name="Help_Other_Types_of_Income">'Help'!$A$40</definedName>
    <definedName name="Help_SUA">'Help'!$A$94</definedName>
    <definedName name="Help_Tips_on_Child_Support">'Help'!#REF!</definedName>
    <definedName name="HH_AnyAbove">#REF!</definedName>
    <definedName name="HH_CatElig">'FSCalculator'!$J$14</definedName>
    <definedName name="HH_EldCode">'FSCalculator'!$J$10</definedName>
    <definedName name="HH_ElderlyDisabled">'FSCalculator'!$C$10</definedName>
    <definedName name="HH_EveryMemberIS">'FSCalculator'!$C$12</definedName>
    <definedName name="HH_EveryMemberISCode">'FSCalculator'!$J$12</definedName>
    <definedName name="HH_Homeless">'FSCalculator'!$C$11</definedName>
    <definedName name="HH_HomelessCode">'FSCalculator'!$J$11</definedName>
    <definedName name="HH_IncomeElig">'FSCalculator'!#REF!</definedName>
    <definedName name="HH_Status">'FSCalculator'!$J$13</definedName>
    <definedName name="HH_StatusTable">'Data'!$C$136:$D$143</definedName>
    <definedName name="HH_Total">'FSCalculator'!$C$9</definedName>
    <definedName name="Max_Benefit_Additional">'Data'!#REF!</definedName>
    <definedName name="Max_Benefit_AdditionalCount">'Data'!#REF!</definedName>
    <definedName name="Max_Benefit_Table">'Data'!$B$55:$C$64</definedName>
    <definedName name="MaxBen_AddCount">'Data'!$B$65</definedName>
    <definedName name="MaxBen_AddCountDollar">'Data'!$C$65</definedName>
    <definedName name="MaxBen_MaxCount">'Data'!$B$64</definedName>
    <definedName name="MaxBen_MaxCountDollar">'Data'!$C$64</definedName>
    <definedName name="Min_Benefit">'Data'!$C$119</definedName>
    <definedName name="MinBenCalc">'FSCalculator'!$J$50</definedName>
    <definedName name="MinBenTest_Part1">'FSCalculator'!$J$52</definedName>
    <definedName name="MinBenTest_Part2">'FSCalculator'!$J$53</definedName>
    <definedName name="Monthly_Adj_Medical_Exp">'FSCalculator'!$C$28</definedName>
    <definedName name="Monthly_All_Income">'FSCalculator'!$C$21</definedName>
    <definedName name="Monthly_CourtChildSupport">'FSCalculator'!$C$26</definedName>
    <definedName name="Monthly_DepCare_Deduction">'FSCalculator'!$C$24</definedName>
    <definedName name="Monthly_MedicalExpenses">'FSCalculator'!$C$27</definedName>
    <definedName name="Monthly_SD_for_HH">'FSCalculator'!$C$23</definedName>
    <definedName name="Monthly_UI_Total">'FSCalculator'!$C$19</definedName>
    <definedName name="MonthlyDisregardPercentage">'Data'!$C$75</definedName>
    <definedName name="MonthlyGrossEarnedIncome">'FSCalculator'!$C$16</definedName>
    <definedName name="MonthlyMedicalAllowance">'Data'!$C$79</definedName>
    <definedName name="MonthlyNetEarnedIncome">'FSCalculator'!$C$18</definedName>
    <definedName name="Net_Inc_Limit_forthis_HH">'FSCalculator'!#REF!</definedName>
    <definedName name="NN_Net_Income_Limit">'FSCalculator'!$J$57</definedName>
    <definedName name="Other_Types_of_Income">'Help'!$A$40</definedName>
    <definedName name="_xlnm.Print_Area" localSheetId="0">'FSCalculator'!$B$1:$C$53</definedName>
    <definedName name="Print_CalcOutput">'FSCalculator'!$B$2:$C$52</definedName>
    <definedName name="ProceedStop">'FSCalculator'!$D$22</definedName>
    <definedName name="SD_Table">'Data'!$B$83:$C$88</definedName>
    <definedName name="SUA">'FSCalculator'!$C$37</definedName>
    <definedName name="SUA_Heat">'Data'!$C$6</definedName>
    <definedName name="SUA_Ltd">'Data'!$C$8</definedName>
    <definedName name="SUA_None">'Data'!$C$10</definedName>
    <definedName name="SUA_NonHeat">'Data'!$C$7</definedName>
    <definedName name="SUA_Pay1Util">'FSCalculator'!$C$35</definedName>
    <definedName name="SUA_Pay2Util">'FSCalculator'!$C$34</definedName>
    <definedName name="SUA_PayHeat">'FSCalculator'!$C$33</definedName>
    <definedName name="SUA_PayPhoneOnly">'FSCalculator'!$C$36</definedName>
    <definedName name="SUA_Tel">'Data'!$C$9</definedName>
    <definedName name="SUATable">'Data'!$B$6:$D$10</definedName>
    <definedName name="Top">'FSCalculator'!$C$8</definedName>
    <definedName name="Total_Adj_Income_HALF_OF">'FSCalculator'!$C$42</definedName>
    <definedName name="Total_Adjusted_Income">'FSCalculator'!$C$29</definedName>
    <definedName name="Total_MaxMonthly_HHBenefit">'FSCalculator'!$C$49</definedName>
    <definedName name="Total_Net_Income">'FSCalculator'!$C$48</definedName>
    <definedName name="Total_ThirdofTotalNetIncome">'FSCalculator'!$C$50</definedName>
    <definedName name="Total_Unadj_ShelterCosts">'FSCalculator'!$C$41</definedName>
    <definedName name="Total_XS_Shelter_Deduction">'FSCalculator'!$C$44</definedName>
    <definedName name="XS_MonthlyFire">'FSCalculator'!$C$39</definedName>
    <definedName name="XS_MonthlyPropertyTax">'FSCalculator'!$C$40</definedName>
    <definedName name="XS_MonthlyRentMortg">'FSCalculator'!$C$38</definedName>
    <definedName name="XS_Shelter_Homeless">'Data'!$C$127</definedName>
    <definedName name="XS_Shelter_Max">'Data'!$C$123</definedName>
    <definedName name="XS_ShelterCosts_Adj">'FSCalculator'!$C$43</definedName>
    <definedName name="XS_ShelterDedTable">'Data'!$C$157:$D$164</definedName>
    <definedName name="XS_ShelterTable">'Data'!$C$146:$E$153</definedName>
  </definedNames>
  <calcPr fullCalcOnLoad="1"/>
</workbook>
</file>

<file path=xl/comments2.xml><?xml version="1.0" encoding="utf-8"?>
<comments xmlns="http://schemas.openxmlformats.org/spreadsheetml/2006/main">
  <authors>
    <author>mbowen</author>
  </authors>
  <commentList>
    <comment ref="C47" authorId="0">
      <text>
        <r>
          <rPr>
            <sz val="10"/>
            <rFont val="Arial"/>
            <family val="0"/>
          </rPr>
          <t>mbowen: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Is this still true July 2009?</t>
        </r>
      </text>
    </comment>
  </commentList>
</comments>
</file>

<file path=xl/comments3.xml><?xml version="1.0" encoding="utf-8"?>
<comments xmlns="http://schemas.openxmlformats.org/spreadsheetml/2006/main">
  <authors>
    <author>mbowen</author>
  </authors>
  <commentList>
    <comment ref="C145" authorId="0">
      <text>
        <r>
          <rPr>
            <sz val="10"/>
            <rFont val="Arial"/>
            <family val="0"/>
          </rPr>
          <t xml:space="preserve">These are the same HH_Status codes
</t>
        </r>
        <r>
          <rPr>
            <sz val="10"/>
            <rFont val="Arial"/>
            <family val="0"/>
          </rPr>
          <t>as above.  If the HH_Status is X, then this statement applies to the XS Shelter Deduction.</t>
        </r>
      </text>
    </comment>
    <comment ref="B15" authorId="0">
      <text>
        <r>
          <rPr>
            <sz val="10"/>
            <rFont val="Arial"/>
            <family val="0"/>
          </rPr>
          <t>There is another version of this spreadsheet for folks who are NOT "categorically eligible" for food stamp benefits.  That sheet uses the 130% FPIG numbers versus this one which uses the 160% number as most folks ARE categorically eligible.</t>
        </r>
        <r>
          <rPr>
            <sz val="10"/>
            <rFont val="Arial"/>
            <family val="0"/>
          </rPr>
          <t xml:space="preserve">
</t>
        </r>
      </text>
    </comment>
    <comment ref="C15" authorId="0">
      <text>
        <r>
          <rPr>
            <sz val="10"/>
            <rFont val="Arial"/>
            <family val="0"/>
          </rPr>
          <t>There is another version of this spreadsheet for folks who are NOT "categorically eligible" for food stamp benefits.  That sheet uses the 130% FPIG numbers versus this one which uses the 160% number as most folks ARE categorically eligible.</t>
        </r>
      </text>
    </comment>
  </commentList>
</comments>
</file>

<file path=xl/sharedStrings.xml><?xml version="1.0" encoding="utf-8"?>
<sst xmlns="http://schemas.openxmlformats.org/spreadsheetml/2006/main" count="276" uniqueCount="237">
  <si>
    <t>Other Types of Income</t>
  </si>
  <si>
    <t>KEY</t>
  </si>
  <si>
    <t>TOTAL ADJUSTED INCOME</t>
  </si>
  <si>
    <t>SUATable</t>
  </si>
  <si>
    <t>Max Benefit</t>
  </si>
  <si>
    <t>Monthly Disregard Percentage</t>
  </si>
  <si>
    <t>Monthly Medical Allowance for Elderly or Disabled</t>
  </si>
  <si>
    <t>Client Pays Heat or Cooling</t>
  </si>
  <si>
    <t>Client Pays 2 Utilities, NOT Heat or Cooling, MAY include Phone</t>
  </si>
  <si>
    <t>Client Pays 1 Utility, but NOT Heat or Cooling, and NOT Phone</t>
  </si>
  <si>
    <t>Client Pays Phone Only</t>
  </si>
  <si>
    <t>Client Pays Neither Utilities nor Phone</t>
  </si>
  <si>
    <t>Excess Shelter Max</t>
  </si>
  <si>
    <t>Excess Shelter Homeless</t>
  </si>
  <si>
    <t>3. EXCESS SHELTER COSTS</t>
  </si>
  <si>
    <t>Standard Utility Allowance</t>
  </si>
  <si>
    <t>Benefit Amount is…</t>
  </si>
  <si>
    <t>For a Household</t>
  </si>
  <si>
    <t xml:space="preserve"> of Size…</t>
  </si>
  <si>
    <t>...the Maximum</t>
  </si>
  <si>
    <t>Note:</t>
  </si>
  <si>
    <r>
      <t xml:space="preserve">  1.6  Is the Household </t>
    </r>
    <r>
      <rPr>
        <b/>
        <sz val="10"/>
        <rFont val="Times New Roman"/>
        <family val="1"/>
      </rPr>
      <t>Homeless</t>
    </r>
    <r>
      <rPr>
        <sz val="10"/>
        <rFont val="Times New Roman"/>
        <family val="1"/>
      </rPr>
      <t xml:space="preserve">?  </t>
    </r>
  </si>
  <si>
    <t>4.  BENEFIT CALCULATION</t>
  </si>
  <si>
    <t>Initial Eligibility</t>
  </si>
  <si>
    <t>if the size of the</t>
  </si>
  <si>
    <t xml:space="preserve"> Household is…</t>
  </si>
  <si>
    <t xml:space="preserve">…and the Monthly </t>
  </si>
  <si>
    <t>Income does not Exceed…</t>
  </si>
  <si>
    <t>3. Otherwise, in order to be eligible…</t>
  </si>
  <si>
    <t>Standard Deduction Table</t>
  </si>
  <si>
    <r>
      <t xml:space="preserve">Types of income that </t>
    </r>
    <r>
      <rPr>
        <b/>
        <sz val="10"/>
        <rFont val="Arial"/>
        <family val="2"/>
      </rPr>
      <t>are</t>
    </r>
    <r>
      <rPr>
        <sz val="10"/>
        <rFont val="Arial"/>
        <family val="0"/>
      </rPr>
      <t xml:space="preserve"> eligible include SSI, Cash Assistance…</t>
    </r>
  </si>
  <si>
    <r>
      <t xml:space="preserve">Types of income that are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eligible include Lottery Earnings, Illegal Gains, etc.</t>
    </r>
  </si>
  <si>
    <r>
      <t xml:space="preserve">1. If EVERY member of the Household is receiving TANF, GA or SSI, then the Household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Stamps.</t>
    </r>
  </si>
  <si>
    <r>
      <t xml:space="preserve">2. If ANY member of the Household is Elderly (60+) or officially qualified for disability benefits, then the Household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Stamps.</t>
    </r>
  </si>
  <si>
    <t>NOTE:</t>
  </si>
  <si>
    <t>Do not edit the numbers on this sheet unless you know what you are doing.</t>
  </si>
  <si>
    <t xml:space="preserve">  3.7  Unadjusted Shelter Costs minus Half of Total Adjusted Income (3.5 - 3.6)</t>
  </si>
  <si>
    <t xml:space="preserve">  2.2  Compute Monthly Earned Income Disregard (EID) (percentage is displayed)</t>
  </si>
  <si>
    <t>Additional Per Person</t>
  </si>
  <si>
    <t>Dependent Care Allowance</t>
  </si>
  <si>
    <t xml:space="preserve">  3.4  Property tax paid  (if not included in rent/mortgage payment)</t>
  </si>
  <si>
    <t xml:space="preserve">  3.3  Monthly fire insurance  (if not included in rent/mortgage payment)</t>
  </si>
  <si>
    <t xml:space="preserve">  3.2  Household's monthly rent/mortgage  (if any)                                                                                                                   </t>
  </si>
  <si>
    <t xml:space="preserve">  3.5  Unadjusted Shelter Costs   (3.1  +  3.2  +  3.3  +  3.4)  =  </t>
  </si>
  <si>
    <t>Definitions</t>
  </si>
  <si>
    <t>Homeless</t>
  </si>
  <si>
    <t>Max Benefit and Standard Deduction Table</t>
  </si>
  <si>
    <t>TOTAL EXCESS SHELTER DEDUCTION</t>
  </si>
  <si>
    <t xml:space="preserve">  4.1  Total Net Income  (Total Adjusted Income - Total Excess Shelter Deduction)</t>
  </si>
  <si>
    <t xml:space="preserve">  4.3  30% of Total Net Income    (4.1 * .3)</t>
  </si>
  <si>
    <r>
      <t xml:space="preserve">    (4.2 minus 4.3)            </t>
    </r>
    <r>
      <rPr>
        <b/>
        <sz val="10"/>
        <rFont val="Times New Roman"/>
        <family val="1"/>
      </rPr>
      <t>ESTIMATED MONTHLY BENEFIT</t>
    </r>
  </si>
  <si>
    <r>
      <t xml:space="preserve">(2.3  minus  2.4)            </t>
    </r>
    <r>
      <rPr>
        <b/>
        <sz val="10"/>
        <rFont val="Times New Roman"/>
        <family val="1"/>
      </rPr>
      <t>TOTAL UNADJUSTED INCOME</t>
    </r>
  </si>
  <si>
    <t xml:space="preserve">Receives government disability benefits at the SSI level of disability.  E.g., SSI, SSD, Healthy Horizons, MAWD, GA with a 12-month EAF.  </t>
  </si>
  <si>
    <t>The food stamp office will multiply average weekly pay by 4 (not 4.3) to determine monthly earned income.</t>
  </si>
  <si>
    <t>Monthly Gross Earned Income</t>
  </si>
  <si>
    <t xml:space="preserve">Homeless people are eligible for food stamps even if they live in a shelter where their meals are provided.  </t>
  </si>
  <si>
    <t>People may be considered homeless if they are doubling up with a friend or relative for less than 90 days.</t>
  </si>
  <si>
    <t>Aged 60 or over.</t>
  </si>
  <si>
    <r>
      <t xml:space="preserve">A group of people who </t>
    </r>
    <r>
      <rPr>
        <u val="single"/>
        <sz val="12"/>
        <rFont val="Times New Roman"/>
        <family val="1"/>
      </rPr>
      <t>live together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and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who purchase and prepare meals</t>
    </r>
    <r>
      <rPr>
        <sz val="12"/>
        <rFont val="Times New Roman"/>
        <family val="1"/>
      </rPr>
      <t xml:space="preserve"> together, with some exceptions:  </t>
    </r>
  </si>
  <si>
    <t>even if they eat with others, as long as the others they eat with have income below 165% of the federal poverty level.</t>
  </si>
  <si>
    <r>
      <t xml:space="preserve">  1.7  Is </t>
    </r>
    <r>
      <rPr>
        <b/>
        <sz val="10"/>
        <rFont val="Times New Roman"/>
        <family val="1"/>
      </rPr>
      <t>every</t>
    </r>
    <r>
      <rPr>
        <sz val="10"/>
        <rFont val="Times New Roman"/>
        <family val="1"/>
      </rPr>
      <t xml:space="preserve"> member of the household receiving </t>
    </r>
    <r>
      <rPr>
        <b/>
        <sz val="10"/>
        <rFont val="Times New Roman"/>
        <family val="1"/>
      </rPr>
      <t>TANF, GA or SSI</t>
    </r>
    <r>
      <rPr>
        <sz val="10"/>
        <rFont val="Times New Roman"/>
        <family val="1"/>
      </rPr>
      <t>?</t>
    </r>
  </si>
  <si>
    <t>which only applies to households of less than 3.</t>
  </si>
  <si>
    <t>http://www.fns.usda.gov/fsp/government/FY07_Income_Standards.htm</t>
  </si>
  <si>
    <t xml:space="preserve">To get the standard homeless shelter deduction, the household must have some out-of-pocket shelter expenses.  </t>
  </si>
  <si>
    <t>Most homeless shelters charge fees, which count.  Buying things for the friend with whom one is staying would also count.</t>
  </si>
  <si>
    <r>
      <t>Don't forget the Medicare Part B and/or D premiums if the client isn't receiving the buy-in or low income subsidy</t>
    </r>
    <r>
      <rPr>
        <sz val="10"/>
        <rFont val="Arial"/>
        <family val="0"/>
      </rPr>
      <t xml:space="preserve"> </t>
    </r>
  </si>
  <si>
    <t>As per FSH 510.21</t>
  </si>
  <si>
    <t>Community Legal Services PA Food Stamp Estimator Worksheet</t>
  </si>
  <si>
    <t>Click here for the on-line DPW reg.</t>
  </si>
  <si>
    <t>Enter Your Data</t>
  </si>
  <si>
    <t>Calculated Data</t>
  </si>
  <si>
    <t>Editing these tables will result in changes to the computed benefit amount.</t>
  </si>
  <si>
    <t>2. INCOME INFORMATION</t>
  </si>
  <si>
    <t>Minimum Benefit</t>
  </si>
  <si>
    <t>Heating SUA</t>
  </si>
  <si>
    <t>Non-Heating SUA</t>
  </si>
  <si>
    <t>Limited SUA</t>
  </si>
  <si>
    <t>Telephone Allowance</t>
  </si>
  <si>
    <t>Every member of the HH is on TANF, GA or SSI</t>
  </si>
  <si>
    <t xml:space="preserve">  Those conditions are:</t>
  </si>
  <si>
    <t>Standard Income</t>
  </si>
  <si>
    <t>Deduction (based on HH size)</t>
  </si>
  <si>
    <t>Telephone</t>
  </si>
  <si>
    <r>
      <t xml:space="preserve">  2.1  Monthly </t>
    </r>
    <r>
      <rPr>
        <b/>
        <sz val="10"/>
        <rFont val="Times New Roman"/>
        <family val="1"/>
      </rPr>
      <t>Gross Earned Income (GEI)</t>
    </r>
    <r>
      <rPr>
        <sz val="10"/>
        <rFont val="Times New Roman"/>
        <family val="1"/>
      </rPr>
      <t xml:space="preserve"> before taxes (from any kind of job).  </t>
    </r>
  </si>
  <si>
    <r>
      <t xml:space="preserve">  2.4  Enter the total amount of all</t>
    </r>
    <r>
      <rPr>
        <b/>
        <sz val="10"/>
        <rFont val="Times New Roman"/>
        <family val="1"/>
      </rPr>
      <t xml:space="preserve"> Unearned Income</t>
    </r>
    <r>
      <rPr>
        <sz val="10"/>
        <rFont val="Times New Roman"/>
        <family val="1"/>
      </rPr>
      <t xml:space="preserve"> received per month (TANF, SSI, child support, pension, SS, worker’s compensation, etc).</t>
    </r>
  </si>
  <si>
    <t>Based on Chart</t>
  </si>
  <si>
    <t>HH_Status Codes</t>
  </si>
  <si>
    <t xml:space="preserve">(only) </t>
  </si>
  <si>
    <t xml:space="preserve">At least one person in the Household is Elderly. </t>
  </si>
  <si>
    <t>Household is Homeless.</t>
  </si>
  <si>
    <r>
      <t xml:space="preserve">Household is Elderly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Homeless</t>
    </r>
  </si>
  <si>
    <r>
      <t xml:space="preserve">HH is Homeless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All members are receiving TANF, GA or SSI.</t>
    </r>
  </si>
  <si>
    <r>
      <t xml:space="preserve">HH is Elderly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All members are receiving TANF, GA or SSI.</t>
    </r>
  </si>
  <si>
    <r>
      <t xml:space="preserve">HH is Elderly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Homeless </t>
    </r>
    <r>
      <rPr>
        <b/>
        <sz val="10"/>
        <rFont val="Arial"/>
        <family val="2"/>
      </rPr>
      <t>and</t>
    </r>
    <r>
      <rPr>
        <sz val="10"/>
        <rFont val="Arial"/>
        <family val="0"/>
      </rPr>
      <t xml:space="preserve"> All members are receiving TANF, GA or SSI.</t>
    </r>
  </si>
  <si>
    <t>All members of the Household are receiving TANF, GA or SSI (none are Elderly nor Homeless).</t>
  </si>
  <si>
    <t xml:space="preserve"> </t>
  </si>
  <si>
    <t>(See Excess Shelter Table below...)</t>
  </si>
  <si>
    <t>XS_ShelterTable</t>
  </si>
  <si>
    <t xml:space="preserve">  3.6  Total Adjusted Income (from Sect. 2) * 1/2 =</t>
  </si>
  <si>
    <t>HH_EldCode, 1=y, 0=n</t>
  </si>
  <si>
    <t>Household is Categorically Eligible 1=true, 0=false</t>
  </si>
  <si>
    <t>www.clsphila.org</t>
  </si>
  <si>
    <t>XS_Shelter DeductionTable</t>
  </si>
  <si>
    <t>Homeless, there is a floor</t>
  </si>
  <si>
    <t>CatEligible, only a cap</t>
  </si>
  <si>
    <t>Elderly, no cap</t>
  </si>
  <si>
    <t>Homeless and Elderly, there is a floor and no cap</t>
  </si>
  <si>
    <t>there is a cap</t>
  </si>
  <si>
    <t>&lt;-- There is a single space in this cell</t>
  </si>
  <si>
    <t>Because the HH has an Elderly/Disabled person, there is no cap on their Total Excess Shelter Deductions.</t>
  </si>
  <si>
    <t xml:space="preserve">Because the HH has an Elderly/Disabled person, there is no cap on their Total Excess Shelter Deductions.  </t>
  </si>
  <si>
    <t>Section 1. HOUSEHOLD Information</t>
  </si>
  <si>
    <t>Section 2. INCOME and ELIGIBILITY</t>
  </si>
  <si>
    <t>Section 3.  EXCESS SHELTER COSTS</t>
  </si>
  <si>
    <t>General Rule</t>
  </si>
  <si>
    <t>Elderly</t>
  </si>
  <si>
    <t>If the Household has an Elderly (60+) or Disabled person, they may deduct their actual costs,</t>
  </si>
  <si>
    <t>with no cap, based on the calculations in Section 4.</t>
  </si>
  <si>
    <t xml:space="preserve">The FSP uses standard amounts for utility expenses, regardless of the actual amount spent.  </t>
  </si>
  <si>
    <t xml:space="preserve">If the rent includes heat, see if the landlord will change the arrangements to specify that a certain amount of the rent is set aside for heat.  </t>
  </si>
  <si>
    <t>E.g.: If the rent is $500 including heat, have it changed to $450 for rent plus $50 for heat.</t>
  </si>
  <si>
    <r>
      <t xml:space="preserve">TIP:  If a household pays even a </t>
    </r>
    <r>
      <rPr>
        <b/>
        <sz val="10"/>
        <rFont val="Arial"/>
        <family val="2"/>
      </rPr>
      <t>portion</t>
    </r>
    <r>
      <rPr>
        <sz val="10"/>
        <rFont val="Arial"/>
        <family val="0"/>
      </rPr>
      <t xml:space="preserve"> of its heating costs, it gets the maximum SUA.  </t>
    </r>
  </si>
  <si>
    <t>Section 4.  BENEFIT CALCULATION</t>
  </si>
  <si>
    <t>"Household"</t>
  </si>
  <si>
    <t>"Elderly"</t>
  </si>
  <si>
    <t>"Disabled"</t>
  </si>
  <si>
    <t>"Homeless"</t>
  </si>
  <si>
    <t>Calculating the Excess Shelter Deduction</t>
  </si>
  <si>
    <t xml:space="preserve">   and</t>
  </si>
  <si>
    <t>The Household has no more than 2 members</t>
  </si>
  <si>
    <r>
      <t xml:space="preserve">then the family is </t>
    </r>
    <r>
      <rPr>
        <b/>
        <sz val="10"/>
        <rFont val="Arial"/>
        <family val="2"/>
      </rPr>
      <t>eligible</t>
    </r>
    <r>
      <rPr>
        <sz val="10"/>
        <rFont val="Arial"/>
        <family val="2"/>
      </rPr>
      <t xml:space="preserve"> for Food Stamps and may proceed.</t>
    </r>
  </si>
  <si>
    <t xml:space="preserve">All household members must be considered together, and all of their income counts. </t>
  </si>
  <si>
    <t>Medical Expenses</t>
  </si>
  <si>
    <t>Tips</t>
  </si>
  <si>
    <r>
      <t xml:space="preserve">1.  Children under age 22 who live with their parents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part of the parents’ household, even if they eat separately or have children of their own.  </t>
    </r>
  </si>
  <si>
    <r>
      <t xml:space="preserve">2.  Spouses who live together </t>
    </r>
    <r>
      <rPr>
        <b/>
        <sz val="10"/>
        <rFont val="Arial"/>
        <family val="2"/>
      </rPr>
      <t>must</t>
    </r>
    <r>
      <rPr>
        <sz val="10"/>
        <rFont val="Arial"/>
        <family val="0"/>
      </rPr>
      <t xml:space="preserve"> be in the same household.  </t>
    </r>
  </si>
  <si>
    <t xml:space="preserve">3.  Individuals (and their spouses) who cannot prepare their own food because they are both elderly and disabled can be a separate household, </t>
  </si>
  <si>
    <t>This is how much we add</t>
  </si>
  <si>
    <t>This is what we add it to</t>
  </si>
  <si>
    <t>This is the total</t>
  </si>
  <si>
    <r>
      <t xml:space="preserve">  1.4  Is there at least one </t>
    </r>
    <r>
      <rPr>
        <b/>
        <sz val="10"/>
        <rFont val="Times New Roman"/>
        <family val="1"/>
      </rPr>
      <t>Elderly</t>
    </r>
    <r>
      <rPr>
        <sz val="10"/>
        <rFont val="Times New Roman"/>
        <family val="1"/>
      </rPr>
      <t xml:space="preserve"> (60 or over) OR </t>
    </r>
    <r>
      <rPr>
        <b/>
        <sz val="10"/>
        <rFont val="Times New Roman"/>
        <family val="1"/>
      </rPr>
      <t>Disabled</t>
    </r>
    <r>
      <rPr>
        <sz val="10"/>
        <rFont val="Times New Roman"/>
        <family val="1"/>
      </rPr>
      <t xml:space="preserve"> person in the Household?</t>
    </r>
  </si>
  <si>
    <t xml:space="preserve">  2.7  Enter the monthly Dependent Care Costs. </t>
  </si>
  <si>
    <t>This cap applies only to non-Elderly Households.</t>
  </si>
  <si>
    <t>This alternative deduction applies only to Homeless HH and serves as a floor.</t>
  </si>
  <si>
    <r>
      <t>*</t>
    </r>
    <r>
      <rPr>
        <sz val="10"/>
        <rFont val="Arial"/>
        <family val="0"/>
      </rPr>
      <t xml:space="preserve"> Note that this table is only used to test for eligibility for the Minimum Benefit Amount,</t>
    </r>
  </si>
  <si>
    <t>For folks who may not otherwise be eligible, see conditions at bottom of the Help Sheet</t>
  </si>
  <si>
    <t>HH_Status.  See the table on Data sheet for what this means.</t>
  </si>
  <si>
    <t>Size of current HH</t>
  </si>
  <si>
    <t>Current HH_Status value</t>
  </si>
  <si>
    <t>* For each Additional Member over 10</t>
  </si>
  <si>
    <t>Gross Income for this HH (Used for Eligibility, not to calc the Benefit)</t>
  </si>
  <si>
    <t>For a HH of ...</t>
  </si>
  <si>
    <t xml:space="preserve">  2.3      (2.1  minus  2.2)  =</t>
  </si>
  <si>
    <t xml:space="preserve">1.  HOUSEHOLD INFORMATION </t>
  </si>
  <si>
    <r>
      <t xml:space="preserve">  1.1  Total Number of </t>
    </r>
    <r>
      <rPr>
        <b/>
        <sz val="10"/>
        <rFont val="Times New Roman"/>
        <family val="1"/>
      </rPr>
      <t>Persons</t>
    </r>
    <r>
      <rPr>
        <sz val="10"/>
        <rFont val="Times New Roman"/>
        <family val="1"/>
      </rPr>
      <t xml:space="preserve"> in the Household     (See 'Help' tab sheet for Definitions)</t>
    </r>
  </si>
  <si>
    <t>(As stated on the main sheet.)</t>
  </si>
  <si>
    <t>This value is set based on Elderly/Disabled, Homeless, Rcv'ing TANF status.  See table below.</t>
  </si>
  <si>
    <t>The data on this sheet is informational only and may change without notice.</t>
  </si>
  <si>
    <t xml:space="preserve">Other folks get whatever the calculated benefit is -- there's no minimum for them. </t>
  </si>
  <si>
    <t xml:space="preserve">  2.5  Total Gross Household Income</t>
  </si>
  <si>
    <t>The only way to exclude someone and their income from a food stamp household is to eat separately from them.</t>
  </si>
  <si>
    <t>Work-study does not count as income.</t>
  </si>
  <si>
    <t>x</t>
  </si>
  <si>
    <t>Does Client pay any portion of  Heat or Cooling expenses?</t>
  </si>
  <si>
    <t>Does Client pay 2 utilities (may include phone), but NOT Heat or Cooling?</t>
  </si>
  <si>
    <t>Does Client pay 1 utility (not the phone), but NOT Heat or Cooling?</t>
  </si>
  <si>
    <t>Does Client pay only the phone?</t>
  </si>
  <si>
    <t xml:space="preserve">  3.1  Utility Expenses </t>
  </si>
  <si>
    <t xml:space="preserve">         Note:  These are the costs to care for dependents to enable a household member to 1) Work, 2) Look for work or 3) Attend job training.  Also, the CCIS co-pay may be deducted as a DC cost.</t>
  </si>
  <si>
    <t xml:space="preserve">  2.8  Court ordered child support paid per month.</t>
  </si>
  <si>
    <t xml:space="preserve">  2.9  Monthly (unreimbursed) medical expenses for all Elderly and Disabled household members.  </t>
  </si>
  <si>
    <t>Last Edit:</t>
  </si>
  <si>
    <t>Up'd the Minimum to $16 and changed the benefit table.</t>
  </si>
  <si>
    <t>These changes are effective April 1st, 2009.</t>
  </si>
  <si>
    <t>http://www.fns.usda.gov/fsp/rules/Memo/09/021809.pdf</t>
  </si>
  <si>
    <t>Income limits changed from 130% to 160% of FPIG</t>
  </si>
  <si>
    <t>For Each Additional Person Above 10</t>
  </si>
  <si>
    <t>Gross Income Limits Elderly/Disabled   200% FPIG</t>
  </si>
  <si>
    <t>Gross Income Limits 160% FPIG</t>
  </si>
  <si>
    <t>Gross Income Limit for a HH of this size/type</t>
  </si>
  <si>
    <t xml:space="preserve">The Gross Inc Limit is calculated twice based on HH size on the Data sheet.  </t>
  </si>
  <si>
    <t>Depending on if the HH is Eld/Dis, the appropriate number is returned and used as the GIL here.</t>
  </si>
  <si>
    <t>calc</t>
  </si>
  <si>
    <t>vlookup</t>
  </si>
  <si>
    <t>Separate Gross inc Limit tests for households based on Elderly/Disabled membership</t>
  </si>
  <si>
    <t>This is only used to calculate eligibilty and not the actual benefit amount.</t>
  </si>
  <si>
    <t>Special Cases</t>
  </si>
  <si>
    <t>For those folks the net income and 130% Gross Income tests still apply.</t>
  </si>
  <si>
    <r>
      <t xml:space="preserve">If the HH meets 1&amp;2 and is still not eligible for Benefits, the Minimum Benefit </t>
    </r>
    <r>
      <rPr>
        <b/>
        <sz val="10"/>
        <rFont val="Arial"/>
        <family val="2"/>
      </rPr>
      <t>may</t>
    </r>
    <r>
      <rPr>
        <sz val="10"/>
        <rFont val="Arial"/>
        <family val="0"/>
      </rPr>
      <t xml:space="preserve"> apply.</t>
    </r>
  </si>
  <si>
    <t>Removed the Net Income test when calculating eligibility for the Alt Minimum Benefit.</t>
  </si>
  <si>
    <t>There are some folks for whom the July 2009 expanded elegibility rules do not apply.</t>
  </si>
  <si>
    <t>Original DPW memo is here.</t>
  </si>
  <si>
    <t xml:space="preserve">The following few households do not qualify for Expanded CE: </t>
  </si>
  <si>
    <t xml:space="preserve">&gt;   Elderly/disabled households with income above 200 percent of the FPIGs, </t>
  </si>
  <si>
    <t xml:space="preserve">&gt;   Households whose head of household is currently disqualified for failing to comply with employment and training requirements, or </t>
  </si>
  <si>
    <t>&gt;   A household that has an Intentional Program Violation (IPV) that currently results in the disqualification of a household member.</t>
  </si>
  <si>
    <t>Initial Ben Calc</t>
  </si>
  <si>
    <t>Final Ben (after Min test)</t>
  </si>
  <si>
    <t>HH_HomlessCode, 2=y, 0=n</t>
  </si>
  <si>
    <t>HH_EveryMemberISCode, 4=y, 0=n</t>
  </si>
  <si>
    <t>Changed Min test so that it calcs the benefit, then in a separate cell tests to see if the Min should be applied.</t>
  </si>
  <si>
    <t>Note also indicates that Min is being applied.</t>
  </si>
  <si>
    <t>Test Homelessness v. Rent/Mortgage and throw up a flag if they conflict.</t>
  </si>
  <si>
    <t>HH_StatusTable</t>
  </si>
  <si>
    <t>GrIncLimCalcELD &gt;</t>
  </si>
  <si>
    <t>GrIncLimCalc &gt;</t>
  </si>
  <si>
    <t xml:space="preserve">  * Unlike the Gross Income Limit above, this only calcs correctly for HH more than 10.</t>
  </si>
  <si>
    <t xml:space="preserve">Based on data that was current as of </t>
  </si>
  <si>
    <t>Fixed Utility allowance bug</t>
  </si>
  <si>
    <t xml:space="preserve">Link the Last Revised date at the top of the first page to the edit date on the Help tab sheet. </t>
  </si>
  <si>
    <t>Also added comments to the Gross Income table explaining this sheet is for Categorically Eligible folks, which is most folks.</t>
  </si>
  <si>
    <t>FPIG Net Income Limits (100%  FPIG)</t>
  </si>
  <si>
    <t>Also called "Homeless Shelter Deduction"</t>
  </si>
  <si>
    <t>Also called "Shelter Deduction"</t>
  </si>
  <si>
    <t>These two numbers may not be the same if HH&lt;12</t>
  </si>
  <si>
    <t>Added some comments on Data tab to make it easier to "translate" between the annual Ops memo and our terminology.</t>
  </si>
  <si>
    <t>Added some space on Data tab to note when/where numbers do NOT change.</t>
  </si>
  <si>
    <t>Updated with latest COLA number as per LH</t>
  </si>
  <si>
    <t>Shelter Deduction</t>
  </si>
  <si>
    <t>Standard Income Deduction based on HH Size</t>
  </si>
  <si>
    <t>Income Eligibility Standards</t>
  </si>
  <si>
    <t>Children 2 and Under  -- THIS HAS BEEN SUPERSEDED -- NO CAP ANYMORE</t>
  </si>
  <si>
    <t xml:space="preserve"> -- THIS HAS BEEN SUPERSEDED -- NO CAP ANYMORE</t>
  </si>
  <si>
    <t>No change for October 2014</t>
  </si>
  <si>
    <t>Total cash on hand is less than $100</t>
  </si>
  <si>
    <t>Gross monthly income is less than $150</t>
  </si>
  <si>
    <t>If THIS and</t>
  </si>
  <si>
    <t>THIS are true, then Expedited.</t>
  </si>
  <si>
    <t>OR, if THIS is true, then Expedited.</t>
  </si>
  <si>
    <t>So if this is 2 or greater, then Expedited.</t>
  </si>
  <si>
    <t xml:space="preserve">  2.0  Liquid resources (i.e., cash on hand plus bank balances)</t>
  </si>
  <si>
    <t>y</t>
  </si>
  <si>
    <t>Effective October 1, 2016</t>
  </si>
  <si>
    <t>Updated for 10/14 (still no change 10/16)</t>
  </si>
  <si>
    <t>Decreased 2017, remains constant 2018</t>
  </si>
  <si>
    <t>9/27/19</t>
  </si>
  <si>
    <t>Updated figures (Louise)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</si>
</sst>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mmm\-yyyy"/>
    <numFmt numFmtId="171" formatCode="[$-409]dddd\,\ mmmm\ dd\,\ yyyy"/>
    <numFmt numFmtId="172" formatCode="mmmm\ yyyy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indexed="9"/>
      <name val="Times New Roman"/>
      <family val="1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53" applyBorder="1" applyAlignment="1" applyProtection="1">
      <alignment/>
      <protection/>
    </xf>
    <xf numFmtId="0" fontId="0" fillId="0" borderId="0" xfId="0" applyAlignment="1">
      <alignment horizontal="right"/>
    </xf>
    <xf numFmtId="42" fontId="0" fillId="0" borderId="0" xfId="44" applyNumberFormat="1" applyFont="1" applyAlignment="1">
      <alignment/>
    </xf>
    <xf numFmtId="169" fontId="0" fillId="0" borderId="0" xfId="0" applyNumberFormat="1" applyAlignment="1">
      <alignment/>
    </xf>
    <xf numFmtId="3" fontId="0" fillId="0" borderId="0" xfId="44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53" applyBorder="1" applyAlignment="1" applyProtection="1">
      <alignment horizontal="center"/>
      <protection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/>
    </xf>
    <xf numFmtId="0" fontId="7" fillId="33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12" fillId="33" borderId="12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0" fillId="0" borderId="13" xfId="0" applyBorder="1" applyAlignment="1">
      <alignment/>
    </xf>
    <xf numFmtId="0" fontId="6" fillId="33" borderId="14" xfId="0" applyFont="1" applyFill="1" applyBorder="1" applyAlignment="1">
      <alignment horizontal="left" vertical="top" wrapText="1"/>
    </xf>
    <xf numFmtId="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15" xfId="0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0" fillId="35" borderId="11" xfId="0" applyFill="1" applyBorder="1" applyAlignment="1" applyProtection="1">
      <alignment/>
      <protection locked="0"/>
    </xf>
    <xf numFmtId="0" fontId="6" fillId="33" borderId="16" xfId="0" applyFont="1" applyFill="1" applyBorder="1" applyAlignment="1">
      <alignment vertical="top" wrapText="1"/>
    </xf>
    <xf numFmtId="0" fontId="0" fillId="0" borderId="17" xfId="0" applyBorder="1" applyAlignment="1">
      <alignment/>
    </xf>
    <xf numFmtId="0" fontId="1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7" fillId="33" borderId="18" xfId="0" applyFont="1" applyFill="1" applyBorder="1" applyAlignment="1">
      <alignment vertical="top" wrapText="1"/>
    </xf>
    <xf numFmtId="0" fontId="2" fillId="0" borderId="0" xfId="53" applyFont="1" applyBorder="1" applyAlignment="1" applyProtection="1">
      <alignment horizontal="center"/>
      <protection/>
    </xf>
    <xf numFmtId="0" fontId="17" fillId="33" borderId="19" xfId="0" applyFont="1" applyFill="1" applyBorder="1" applyAlignment="1">
      <alignment vertical="top" wrapText="1"/>
    </xf>
    <xf numFmtId="3" fontId="0" fillId="34" borderId="11" xfId="0" applyNumberForma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35" borderId="20" xfId="0" applyFill="1" applyBorder="1" applyAlignment="1" applyProtection="1">
      <alignment/>
      <protection locked="0"/>
    </xf>
    <xf numFmtId="0" fontId="7" fillId="33" borderId="12" xfId="0" applyFont="1" applyFill="1" applyBorder="1" applyAlignment="1">
      <alignment horizontal="right" vertical="top" wrapText="1"/>
    </xf>
    <xf numFmtId="0" fontId="5" fillId="0" borderId="0" xfId="0" applyFont="1" applyBorder="1" applyAlignment="1" quotePrefix="1">
      <alignment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7" fillId="33" borderId="21" xfId="0" applyFont="1" applyFill="1" applyBorder="1" applyAlignment="1">
      <alignment horizontal="right" vertical="top" wrapText="1"/>
    </xf>
    <xf numFmtId="3" fontId="0" fillId="34" borderId="22" xfId="0" applyNumberFormat="1" applyFill="1" applyBorder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Alignment="1">
      <alignment horizontal="left"/>
    </xf>
    <xf numFmtId="6" fontId="0" fillId="0" borderId="0" xfId="0" applyNumberFormat="1" applyAlignment="1">
      <alignment/>
    </xf>
    <xf numFmtId="0" fontId="0" fillId="35" borderId="11" xfId="0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right" vertical="top" wrapText="1"/>
    </xf>
    <xf numFmtId="169" fontId="8" fillId="34" borderId="23" xfId="0" applyNumberFormat="1" applyFont="1" applyFill="1" applyBorder="1" applyAlignment="1">
      <alignment/>
    </xf>
    <xf numFmtId="10" fontId="0" fillId="36" borderId="0" xfId="0" applyNumberForma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 horizontal="right"/>
    </xf>
    <xf numFmtId="0" fontId="0" fillId="36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 quotePrefix="1">
      <alignment/>
    </xf>
    <xf numFmtId="0" fontId="12" fillId="0" borderId="0" xfId="0" applyFont="1" applyBorder="1" applyAlignment="1">
      <alignment horizontal="center"/>
    </xf>
    <xf numFmtId="0" fontId="9" fillId="33" borderId="0" xfId="53" applyFont="1" applyFill="1" applyBorder="1" applyAlignment="1" applyProtection="1">
      <alignment horizontal="left" vertical="top"/>
      <protection/>
    </xf>
    <xf numFmtId="0" fontId="26" fillId="0" borderId="0" xfId="0" applyFont="1" applyAlignment="1">
      <alignment horizontal="left"/>
    </xf>
    <xf numFmtId="0" fontId="22" fillId="0" borderId="0" xfId="0" applyFont="1" applyAlignment="1">
      <alignment/>
    </xf>
    <xf numFmtId="169" fontId="0" fillId="0" borderId="0" xfId="0" applyNumberFormat="1" applyAlignment="1">
      <alignment horizontal="left"/>
    </xf>
    <xf numFmtId="1" fontId="0" fillId="34" borderId="26" xfId="0" applyNumberFormat="1" applyFill="1" applyBorder="1" applyAlignment="1">
      <alignment/>
    </xf>
    <xf numFmtId="0" fontId="29" fillId="0" borderId="0" xfId="0" applyFont="1" applyAlignment="1" quotePrefix="1">
      <alignment/>
    </xf>
    <xf numFmtId="0" fontId="30" fillId="33" borderId="0" xfId="0" applyFont="1" applyFill="1" applyBorder="1" applyAlignment="1">
      <alignment horizontal="left" vertical="top" wrapText="1"/>
    </xf>
    <xf numFmtId="0" fontId="30" fillId="33" borderId="0" xfId="0" applyFont="1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left"/>
    </xf>
    <xf numFmtId="169" fontId="1" fillId="0" borderId="0" xfId="0" applyNumberFormat="1" applyFont="1" applyAlignment="1">
      <alignment horizontal="left"/>
    </xf>
    <xf numFmtId="0" fontId="24" fillId="0" borderId="0" xfId="0" applyFont="1" applyBorder="1" applyAlignment="1">
      <alignment/>
    </xf>
    <xf numFmtId="0" fontId="26" fillId="0" borderId="0" xfId="0" applyFont="1" applyBorder="1" applyAlignment="1" quotePrefix="1">
      <alignment/>
    </xf>
    <xf numFmtId="0" fontId="27" fillId="0" borderId="0" xfId="0" applyFont="1" applyAlignment="1">
      <alignment/>
    </xf>
    <xf numFmtId="0" fontId="16" fillId="0" borderId="0" xfId="0" applyFont="1" applyAlignment="1">
      <alignment horizontal="center"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0" fontId="30" fillId="33" borderId="0" xfId="0" applyFont="1" applyFill="1" applyBorder="1" applyAlignment="1">
      <alignment horizontal="right" vertical="top"/>
    </xf>
    <xf numFmtId="0" fontId="30" fillId="33" borderId="0" xfId="0" applyFont="1" applyFill="1" applyBorder="1" applyAlignment="1">
      <alignment horizontal="left"/>
    </xf>
    <xf numFmtId="0" fontId="0" fillId="36" borderId="11" xfId="0" applyFill="1" applyBorder="1" applyAlignment="1" applyProtection="1">
      <alignment/>
      <protection/>
    </xf>
    <xf numFmtId="0" fontId="1" fillId="0" borderId="1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4" xfId="53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4" fontId="21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34" borderId="26" xfId="0" applyNumberFormat="1" applyFill="1" applyBorder="1" applyAlignment="1">
      <alignment/>
    </xf>
    <xf numFmtId="0" fontId="13" fillId="33" borderId="0" xfId="0" applyFont="1" applyFill="1" applyBorder="1" applyAlignment="1">
      <alignment horizontal="left"/>
    </xf>
    <xf numFmtId="0" fontId="16" fillId="0" borderId="0" xfId="0" applyFont="1" applyAlignment="1">
      <alignment horizontal="right" vertical="center"/>
    </xf>
    <xf numFmtId="0" fontId="16" fillId="33" borderId="27" xfId="0" applyFont="1" applyFill="1" applyBorder="1" applyAlignment="1">
      <alignment horizontal="left" vertical="center"/>
    </xf>
    <xf numFmtId="0" fontId="16" fillId="33" borderId="14" xfId="0" applyFont="1" applyFill="1" applyBorder="1" applyAlignment="1">
      <alignment horizontal="right" vertical="center"/>
    </xf>
    <xf numFmtId="3" fontId="0" fillId="35" borderId="11" xfId="0" applyNumberFormat="1" applyFill="1" applyBorder="1" applyAlignment="1" applyProtection="1">
      <alignment/>
      <protection locked="0"/>
    </xf>
    <xf numFmtId="3" fontId="0" fillId="34" borderId="28" xfId="0" applyNumberFormat="1" applyFill="1" applyBorder="1" applyAlignment="1">
      <alignment/>
    </xf>
    <xf numFmtId="3" fontId="0" fillId="35" borderId="22" xfId="0" applyNumberFormat="1" applyFill="1" applyBorder="1" applyAlignment="1" applyProtection="1">
      <alignment/>
      <protection locked="0"/>
    </xf>
    <xf numFmtId="3" fontId="0" fillId="34" borderId="20" xfId="0" applyNumberFormat="1" applyFill="1" applyBorder="1" applyAlignment="1">
      <alignment/>
    </xf>
    <xf numFmtId="0" fontId="20" fillId="0" borderId="29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32" fillId="33" borderId="0" xfId="0" applyFont="1" applyFill="1" applyBorder="1" applyAlignment="1">
      <alignment horizontal="right" vertical="center"/>
    </xf>
    <xf numFmtId="0" fontId="2" fillId="0" borderId="0" xfId="53" applyAlignment="1" applyProtection="1">
      <alignment horizontal="left"/>
      <protection/>
    </xf>
    <xf numFmtId="0" fontId="26" fillId="0" borderId="0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30" fillId="33" borderId="0" xfId="0" applyFont="1" applyFill="1" applyBorder="1" applyAlignment="1">
      <alignment horizontal="right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horizontal="right"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7" fontId="5" fillId="0" borderId="0" xfId="0" applyNumberFormat="1" applyFont="1" applyAlignment="1">
      <alignment horizontal="left"/>
    </xf>
    <xf numFmtId="169" fontId="34" fillId="0" borderId="0" xfId="0" applyNumberFormat="1" applyFont="1" applyAlignment="1">
      <alignment horizontal="left"/>
    </xf>
    <xf numFmtId="172" fontId="13" fillId="0" borderId="0" xfId="0" applyNumberFormat="1" applyFont="1" applyAlignment="1">
      <alignment horizontal="right"/>
    </xf>
    <xf numFmtId="0" fontId="28" fillId="0" borderId="25" xfId="0" applyFont="1" applyFill="1" applyBorder="1" applyAlignment="1">
      <alignment/>
    </xf>
    <xf numFmtId="0" fontId="26" fillId="35" borderId="11" xfId="0" applyFont="1" applyFill="1" applyBorder="1" applyAlignment="1" applyProtection="1">
      <alignment horizontal="center"/>
      <protection locked="0"/>
    </xf>
    <xf numFmtId="14" fontId="5" fillId="0" borderId="0" xfId="0" applyNumberFormat="1" applyFont="1" applyAlignment="1">
      <alignment horizontal="left"/>
    </xf>
    <xf numFmtId="49" fontId="13" fillId="0" borderId="0" xfId="0" applyNumberFormat="1" applyFont="1" applyAlignment="1" applyProtection="1">
      <alignment horizontal="left"/>
      <protection locked="0"/>
    </xf>
    <xf numFmtId="0" fontId="0" fillId="35" borderId="11" xfId="0" applyFont="1" applyFill="1" applyBorder="1" applyAlignment="1" applyProtection="1">
      <alignment horizontal="center"/>
      <protection locked="0"/>
    </xf>
    <xf numFmtId="0" fontId="12" fillId="33" borderId="30" xfId="0" applyFont="1" applyFill="1" applyBorder="1" applyAlignment="1">
      <alignment horizontal="right" vertical="top" wrapText="1"/>
    </xf>
    <xf numFmtId="0" fontId="0" fillId="35" borderId="26" xfId="0" applyFont="1" applyFill="1" applyBorder="1" applyAlignment="1" applyProtection="1">
      <alignment horizontal="center"/>
      <protection locked="0"/>
    </xf>
    <xf numFmtId="0" fontId="69" fillId="0" borderId="0" xfId="0" applyFont="1" applyBorder="1" applyAlignment="1">
      <alignment horizontal="right"/>
    </xf>
    <xf numFmtId="0" fontId="6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sphila.org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pw.state.pa.us/oimpolicymanuals/manuals/bop/Fs/510/510-01.htm#P114_2986" TargetMode="External" /><Relationship Id="rId2" Type="http://schemas.openxmlformats.org/officeDocument/2006/relationships/hyperlink" Target="http://www.dpw.state.pa.us/oimpolicymanuals/manuals/bop/ops/OPS080905.pdf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ns.usda.gov/fsp/government/FY07_Income_Standards.htm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79"/>
  <sheetViews>
    <sheetView showGridLines="0" tabSelected="1" zoomScalePageLayoutView="0" workbookViewId="0" topLeftCell="B1">
      <selection activeCell="D10" sqref="D10"/>
    </sheetView>
  </sheetViews>
  <sheetFormatPr defaultColWidth="9.140625" defaultRowHeight="12.75"/>
  <cols>
    <col min="1" max="1" width="4.8515625" style="3" customWidth="1"/>
    <col min="2" max="2" width="76.8515625" style="3" customWidth="1"/>
    <col min="3" max="3" width="15.421875" style="3" customWidth="1"/>
    <col min="4" max="4" width="33.140625" style="3" customWidth="1"/>
    <col min="5" max="8" width="31.421875" style="36" customWidth="1"/>
    <col min="9" max="9" width="33.28125" style="3" customWidth="1"/>
    <col min="10" max="10" width="9.7109375" style="3" customWidth="1"/>
    <col min="11" max="11" width="11.8515625" style="3" customWidth="1"/>
    <col min="12" max="16384" width="9.140625" style="3" customWidth="1"/>
  </cols>
  <sheetData>
    <row r="1" spans="2:3" ht="13.5" thickBot="1">
      <c r="B1" s="4"/>
      <c r="C1" s="109"/>
    </row>
    <row r="2" spans="2:12" ht="15.75">
      <c r="B2" s="48" t="s">
        <v>67</v>
      </c>
      <c r="C2" s="29" t="s">
        <v>1</v>
      </c>
      <c r="D2" s="54"/>
      <c r="J2"/>
      <c r="K2"/>
      <c r="L2"/>
    </row>
    <row r="3" spans="2:12" ht="12.75">
      <c r="B3" s="137" t="str">
        <f>CONCATENATE("Revised on ",_EditDate)</f>
        <v>Revised on 9/27/19</v>
      </c>
      <c r="C3" s="75" t="s">
        <v>69</v>
      </c>
      <c r="J3"/>
      <c r="K3"/>
      <c r="L3"/>
    </row>
    <row r="4" spans="2:12" ht="12.75">
      <c r="B4" s="104"/>
      <c r="C4" s="76" t="s">
        <v>70</v>
      </c>
      <c r="J4"/>
      <c r="K4"/>
      <c r="L4"/>
    </row>
    <row r="5" spans="2:12" ht="13.5" thickBot="1">
      <c r="B5" s="105" t="s">
        <v>101</v>
      </c>
      <c r="C5" s="74" t="s">
        <v>85</v>
      </c>
      <c r="J5"/>
      <c r="K5"/>
      <c r="L5"/>
    </row>
    <row r="6" spans="2:9" ht="12.75">
      <c r="B6" s="27"/>
      <c r="C6" s="4"/>
      <c r="D6" s="28"/>
      <c r="E6" s="20"/>
      <c r="F6" s="20"/>
      <c r="G6" s="20"/>
      <c r="H6" s="20"/>
      <c r="I6" s="28"/>
    </row>
    <row r="7" spans="2:8" ht="13.5" thickBot="1">
      <c r="B7" s="22"/>
      <c r="D7"/>
      <c r="E7"/>
      <c r="F7"/>
      <c r="G7"/>
      <c r="H7"/>
    </row>
    <row r="8" spans="2:4" ht="16.5">
      <c r="B8" s="33" t="s">
        <v>153</v>
      </c>
      <c r="C8" s="34"/>
      <c r="D8" s="15"/>
    </row>
    <row r="9" spans="2:8" ht="15.75" customHeight="1">
      <c r="B9" s="16" t="s">
        <v>154</v>
      </c>
      <c r="C9" s="66"/>
      <c r="E9" s="15"/>
      <c r="F9" s="15"/>
      <c r="G9" s="15"/>
      <c r="H9" s="15"/>
    </row>
    <row r="10" spans="2:11" ht="18" customHeight="1">
      <c r="B10" s="16" t="s">
        <v>140</v>
      </c>
      <c r="C10" s="141"/>
      <c r="D10" s="120" t="str">
        <f>IF(OR(C10="y",C10="n"),""," &lt;&lt; Enter 'y' or 'n'")</f>
        <v> &lt;&lt; Enter 'y' or 'n'</v>
      </c>
      <c r="E10" s="38"/>
      <c r="F10" s="38"/>
      <c r="G10" s="38"/>
      <c r="H10" s="38"/>
      <c r="J10" s="3">
        <f>IF(HH_ElderlyDisabled="y",1,0)</f>
        <v>0</v>
      </c>
      <c r="K10" s="3" t="s">
        <v>99</v>
      </c>
    </row>
    <row r="11" spans="2:11" ht="18.75" customHeight="1">
      <c r="B11" s="16" t="s">
        <v>21</v>
      </c>
      <c r="C11" s="141"/>
      <c r="D11" s="120" t="str">
        <f>IF(OR(C11="y",C11="n"),""," &lt;&lt; Enter 'y' or 'n'")</f>
        <v> &lt;&lt; Enter 'y' or 'n'</v>
      </c>
      <c r="E11" s="15"/>
      <c r="F11" s="15"/>
      <c r="G11" s="15"/>
      <c r="H11" s="15"/>
      <c r="J11" s="3">
        <f>IF(HH_Homeless="y",2,0)</f>
        <v>0</v>
      </c>
      <c r="K11" s="3" t="s">
        <v>198</v>
      </c>
    </row>
    <row r="12" spans="2:11" ht="18.75" customHeight="1" thickBot="1">
      <c r="B12" s="19" t="s">
        <v>60</v>
      </c>
      <c r="C12" s="143"/>
      <c r="D12" s="120" t="str">
        <f>IF(OR(C12="y",C12="n"),""," &lt;&lt; Enter 'y' or 'n'")</f>
        <v> &lt;&lt; Enter 'y' or 'n'</v>
      </c>
      <c r="J12" s="3">
        <f>IF(HH_EveryMemberIS="y",4,0)</f>
        <v>0</v>
      </c>
      <c r="K12" s="3" t="s">
        <v>199</v>
      </c>
    </row>
    <row r="13" spans="2:17" ht="15.75" customHeight="1" thickBot="1">
      <c r="B13" s="35"/>
      <c r="D13" s="46"/>
      <c r="E13" s="77"/>
      <c r="F13" s="77"/>
      <c r="G13" s="77"/>
      <c r="H13" s="77"/>
      <c r="J13" s="22">
        <f>SUM(J10:J12)</f>
        <v>0</v>
      </c>
      <c r="K13" s="3" t="s">
        <v>146</v>
      </c>
      <c r="Q13" s="8" t="s">
        <v>203</v>
      </c>
    </row>
    <row r="14" spans="2:11" ht="18.75" customHeight="1">
      <c r="B14" s="24" t="s">
        <v>72</v>
      </c>
      <c r="C14" s="23"/>
      <c r="J14" s="3">
        <f>IF(HH_EldCode+HH_EveryMemberISCode&gt;0,1,0)</f>
        <v>0</v>
      </c>
      <c r="K14" s="3" t="s">
        <v>100</v>
      </c>
    </row>
    <row r="15" spans="2:11" ht="12.75" customHeight="1">
      <c r="B15" s="16" t="s">
        <v>230</v>
      </c>
      <c r="C15" s="115"/>
      <c r="K15" s="4" t="s">
        <v>150</v>
      </c>
    </row>
    <row r="16" spans="2:11" ht="13.5">
      <c r="B16" s="16" t="s">
        <v>83</v>
      </c>
      <c r="C16" s="115"/>
      <c r="D16" s="93"/>
      <c r="J16" s="99" t="e">
        <f>IF(HH_EldCode=1,GrIncLimCalcELD,IF(HH_Total&lt;11,Data!E29,GrIncLimCalc))</f>
        <v>#N/A</v>
      </c>
      <c r="K16" s="4" t="s">
        <v>179</v>
      </c>
    </row>
    <row r="17" spans="2:11" ht="15" thickBot="1">
      <c r="B17" s="17" t="s">
        <v>37</v>
      </c>
      <c r="C17" s="118">
        <f>+MonthlyGrossEarnedIncome*MonthlyDisregardPercentage</f>
        <v>0</v>
      </c>
      <c r="D17" s="70">
        <f>MonthlyDisregardPercentage</f>
        <v>0.2</v>
      </c>
      <c r="K17" s="4" t="s">
        <v>180</v>
      </c>
    </row>
    <row r="18" spans="2:11" ht="15" thickTop="1">
      <c r="B18" s="17" t="s">
        <v>152</v>
      </c>
      <c r="C18" s="116">
        <f>MonthlyGrossEarnedIncome-EarnedIncomeDisregard</f>
        <v>0</v>
      </c>
      <c r="D18" s="93"/>
      <c r="J18" s="99"/>
      <c r="K18" s="127" t="s">
        <v>181</v>
      </c>
    </row>
    <row r="19" spans="2:3" ht="27.75">
      <c r="B19" s="16" t="s">
        <v>84</v>
      </c>
      <c r="C19" s="117"/>
    </row>
    <row r="20" spans="2:10" ht="13.5">
      <c r="B20" s="37" t="s">
        <v>159</v>
      </c>
      <c r="C20" s="40">
        <f>MonthlyGrossEarnedIncome+Monthly_UI_Total</f>
        <v>0</v>
      </c>
      <c r="D20" s="111">
        <f>IF(HH_Total&gt;0,IF((HH_Status&gt;0),"",IF(Gross_Inc_HH&gt;Gross_Inc_Limit,CONCATENATE(" &lt;&lt;  Gross Income is too high.",),"")),"")</f>
      </c>
      <c r="J20" s="122" t="str">
        <f>IF(HH_Total&gt;0,IF((HH_Status&gt;0),"HHTotal&gt;0 and Status&gt;0",IF(Gross_Inc_HH&gt;Gross_Inc_Limit,CONCATENATE("The Gross Income Limit for a (non-disabled) family of ",HH_Total," is  $",Gross_Inc_Limit),"Gross income limit for a Eld/Dis family is...")),"HH_Total is NOT greater than 0")</f>
        <v>HH_Total is NOT greater than 0</v>
      </c>
    </row>
    <row r="21" spans="2:10" ht="15" thickBot="1">
      <c r="B21" s="45" t="s">
        <v>51</v>
      </c>
      <c r="C21" s="110">
        <f>Monthly_UI_Total+MonthlyNetEarnedIncome</f>
        <v>0</v>
      </c>
      <c r="D21" s="101"/>
      <c r="J21" s="3" t="e">
        <f>IF(HH_Total&gt;0,IF((HH_Status&gt;4),"eligible based on composition","n"),IF((Gross_Inc_HH&lt;Gross_Inc_Limit),CONCATENATE("The Gross Income Limit for a family of ",HH_Total," is  $",Gross_Inc_Limit," eligible based on income"),"not eligible based on income"))</f>
        <v>#N/A</v>
      </c>
    </row>
    <row r="22" spans="2:10" ht="18" customHeight="1">
      <c r="B22" s="114" t="e">
        <f>IF(HH_Status&gt;3,"Eligibility is based on the household composition.",IF(Gross_Inc_HH&gt;Gross_Inc_Limit,CONCATENATE("The gross income of this family of ",HH_Total," is over the Gross Income Limit of  $",Gross_Inc_Limit),"Eligibility is based on Income."))</f>
        <v>#N/A</v>
      </c>
      <c r="C22" s="123" t="e">
        <f>IF(HH_Status&gt;3,"P R O C E E D.",IF(Gross_Inc_HH&gt;Gross_Inc_Limit,"S T O P ! ! ! ","P R O C E E D."))</f>
        <v>#N/A</v>
      </c>
      <c r="D22" s="124" t="e">
        <f>IF(HH_Status&gt;3,1,IF(Gross_Inc_HH&gt;Gross_Inc_Limit,0,1))</f>
        <v>#N/A</v>
      </c>
      <c r="E22" s="79"/>
      <c r="F22" s="79"/>
      <c r="G22" s="79"/>
      <c r="H22" s="79"/>
      <c r="J22" s="3" t="e">
        <f>IF(HH_Status&gt;3,"(Elig based on Comp)",IF(Gross_Inc_HH&gt;Gross_Inc_Limit,CONCATENATE("NOT ELIG: The Gross Income Limit for this family of ",HH_Total," is  $",Gross_Inc_Limit),CONCATENATE("ELIG: The Gross Income Limit for this family of ",HH_Total," is  $",Gross_Inc_Limit)))</f>
        <v>#N/A</v>
      </c>
    </row>
    <row r="23" spans="2:10" ht="13.5">
      <c r="B23" s="16" t="str">
        <f>IF(HH_Total&lt;2,CONCATENATE("  2.6  The standard deduction for a household with ",HH_Total," member is"),CONCATENATE("  2.6  The standard deduction for a household with ",HH_Total," members is"))</f>
        <v>  2.6  The standard deduction for a household with  member is</v>
      </c>
      <c r="C23" s="71" t="b">
        <f>IF(HH_Total&gt;0,IF(HH_Total&gt;0,(VLOOKUP(HH_Total,SD_Table,2,TRUE)),""))</f>
        <v>0</v>
      </c>
      <c r="E23"/>
      <c r="F23"/>
      <c r="G23"/>
      <c r="H23"/>
      <c r="J23" s="3" t="str">
        <f>IF(HH_Total&gt;0,IF((HH_Status&gt;0),"Client is eligible for benefits based on the HH composition in Sect. 1.  PROCEED...",IF(Gross_Inc_HH&gt;Gross_Inc_Limit," S T O P !     --- Client is NOT eligible for benefits, Gross income is too high.  ----","Client is eligible for benefits based on income.  PROCEED...")),"HH size is unanswered")</f>
        <v>HH size is unanswered</v>
      </c>
    </row>
    <row r="24" spans="2:4" ht="13.5">
      <c r="B24" s="37" t="s">
        <v>141</v>
      </c>
      <c r="C24" s="32"/>
      <c r="D24" s="93"/>
    </row>
    <row r="25" spans="2:15" ht="30" customHeight="1">
      <c r="B25" s="39" t="s">
        <v>168</v>
      </c>
      <c r="C25" s="18"/>
      <c r="D25" s="93"/>
      <c r="E25" s="41"/>
      <c r="F25" s="41"/>
      <c r="G25" s="41"/>
      <c r="H25" s="41"/>
      <c r="J25" s="3">
        <f>IF(CashOnHand&lt;100,1,0)</f>
        <v>1</v>
      </c>
      <c r="K25" s="3" t="s">
        <v>224</v>
      </c>
      <c r="O25" s="26" t="s">
        <v>226</v>
      </c>
    </row>
    <row r="26" spans="2:15" ht="15.75">
      <c r="B26" s="16" t="s">
        <v>169</v>
      </c>
      <c r="C26" s="115"/>
      <c r="D26" s="93"/>
      <c r="E26" s="42"/>
      <c r="F26" s="42"/>
      <c r="G26" s="42"/>
      <c r="H26" s="42"/>
      <c r="I26" s="43"/>
      <c r="J26" s="3">
        <f>IF((C16+C19)&lt;150,1,0)</f>
        <v>1</v>
      </c>
      <c r="K26" s="3" t="s">
        <v>225</v>
      </c>
      <c r="O26" s="26" t="s">
        <v>227</v>
      </c>
    </row>
    <row r="27" spans="2:15" ht="15.75">
      <c r="B27" s="16" t="s">
        <v>170</v>
      </c>
      <c r="C27" s="115"/>
      <c r="D27" s="129">
        <f>IF(HH_EldCode&lt;1,IF(Monthly_MedicalExpenses&gt;HH_EldCode,"   &lt;&lt;  ! ",""),"")</f>
      </c>
      <c r="E27" s="42"/>
      <c r="F27" s="42"/>
      <c r="G27" s="42"/>
      <c r="H27" s="42"/>
      <c r="I27" s="43"/>
      <c r="J27" s="3">
        <f>IF(Total_Unadj_ShelterCosts&gt;(CashOnHand+MonthlyGrossEarnedIncome),2,0)</f>
        <v>2</v>
      </c>
      <c r="O27" s="26" t="s">
        <v>228</v>
      </c>
    </row>
    <row r="28" spans="2:15" ht="13.5">
      <c r="B28" s="37" t="str">
        <f>CONCATENATE("  2.10  The Monthly medical expenses minus the  $",MonthlyMedicalAllowance," monthly medical allowance is")</f>
        <v>  2.10  The Monthly medical expenses minus the  $35 monthly medical allowance is</v>
      </c>
      <c r="C28" s="52">
        <f>MAX(Monthly_MedicalExpenses-MonthlyMedicalAllowance,0)</f>
        <v>0</v>
      </c>
      <c r="D28" s="129"/>
      <c r="E28"/>
      <c r="F28"/>
      <c r="G28"/>
      <c r="H28"/>
      <c r="J28" s="3">
        <f>SUM(J25:J27)</f>
        <v>4</v>
      </c>
      <c r="K28" s="3" t="str">
        <f>IF(J28&gt;1,"Client qualifies for EXPEDITED SNAP !","Client does NOT qualifies for EXPEDITED SNAP")</f>
        <v>Client qualifies for EXPEDITED SNAP !</v>
      </c>
      <c r="O28" s="27" t="s">
        <v>229</v>
      </c>
    </row>
    <row r="29" spans="2:8" ht="15" thickBot="1">
      <c r="B29" s="21" t="s">
        <v>2</v>
      </c>
      <c r="C29" s="110" t="e">
        <f>MAX(0,IF(HH_Total&gt;0,(+Monthly_All_Income-Monthly_SD_for_HH-Monthly_DepCare_Deduction-Monthly_CourtChildSupport-Monthly_Adj_Medical_Exp),"No Data"))</f>
        <v>#VALUE!</v>
      </c>
      <c r="D29" s="93"/>
      <c r="E29"/>
      <c r="F29"/>
      <c r="G29"/>
      <c r="H29"/>
    </row>
    <row r="30" spans="2:8" ht="13.5" thickBot="1">
      <c r="B30" s="142"/>
      <c r="C30" s="112">
        <f>IF(HH_ElderlyDisabled="n",IF(Monthly_MedicalExpenses&gt;HH_EldCode," You have entered Monthly Medical expenses for Elderly or Disabled that are not listed in this Household",""),"")</f>
      </c>
      <c r="D30" s="93"/>
      <c r="E30"/>
      <c r="F30"/>
      <c r="G30"/>
      <c r="H30"/>
    </row>
    <row r="31" spans="2:8" ht="16.5">
      <c r="B31" s="24" t="s">
        <v>14</v>
      </c>
      <c r="C31" s="62"/>
      <c r="D31" s="8"/>
      <c r="E31"/>
      <c r="F31"/>
      <c r="G31"/>
      <c r="H31"/>
    </row>
    <row r="32" spans="2:8" ht="13.5">
      <c r="B32" s="16" t="s">
        <v>167</v>
      </c>
      <c r="C32" s="119"/>
      <c r="D32" s="8"/>
      <c r="E32"/>
      <c r="F32"/>
      <c r="G32"/>
      <c r="H32"/>
    </row>
    <row r="33" spans="2:4" ht="13.5">
      <c r="B33" s="68" t="s">
        <v>163</v>
      </c>
      <c r="C33" s="138" t="s">
        <v>231</v>
      </c>
      <c r="D33" s="67">
        <f>IF(OR(C33="y",C33="n"),""," &lt;&lt; Enter 'y' or 'n'")</f>
      </c>
    </row>
    <row r="34" spans="2:4" ht="13.5">
      <c r="B34" s="68" t="s">
        <v>164</v>
      </c>
      <c r="C34" s="138"/>
      <c r="D34" s="67">
        <f>IF(C33="n",IF(OR(C34="y",C34="n"),"","&lt;&lt; Enter 'y' or 'n'"),"")</f>
      </c>
    </row>
    <row r="35" spans="2:4" ht="13.5">
      <c r="B35" s="68" t="s">
        <v>165</v>
      </c>
      <c r="C35" s="138"/>
      <c r="D35" s="67">
        <f>IF(C34="n",IF(OR(C35="y",C35="n"),"","&lt;&lt; Enter 'y' or 'n'"),"")</f>
      </c>
    </row>
    <row r="36" spans="2:4" ht="13.5">
      <c r="B36" s="68" t="s">
        <v>166</v>
      </c>
      <c r="C36" s="138"/>
      <c r="D36" s="67">
        <f>IF(C35="n",IF(OR(C36="y",C36="n"),"","&lt;&lt; Enter 'y' or 'n'"),"")</f>
      </c>
    </row>
    <row r="37" spans="2:4" ht="15.75" customHeight="1">
      <c r="B37" s="103" t="str">
        <f>IF(SUA_PayHeat="y","Heating SUA",IF(SUA_Pay2Util="y","Non-Heating SUA",IF(SUA_Pay1Util="y","Limited SUA",IF(SUA_PayPhoneOnly="y","Telephone SUA","Client pays No Utility costs"))))</f>
        <v>Heating SUA</v>
      </c>
      <c r="C37" s="102">
        <f>IF(HH_HomelessCode&gt;0,0,IF(SUA_PayHeat="y",SUA_Heat,IF(SUA_Pay2Util="y",SUA_NonHeat,IF(SUA_Pay1Util="y",SUA_Ltd,IF(SUA_PayPhoneOnly="y",SUA_Tel,0)))))</f>
        <v>594</v>
      </c>
      <c r="D37" s="86">
        <f>IF(HH_Homeless="y","  SUA is $0 because HH is homeless.","")</f>
      </c>
    </row>
    <row r="38" spans="2:4" ht="13.5">
      <c r="B38" s="16" t="s">
        <v>42</v>
      </c>
      <c r="C38" s="115"/>
      <c r="D38" s="87">
        <f>IF(XS_MonthlyRentMortg&gt;0,IF(HH_HomelessCode&gt;0,"  Note: Homeless, yet rent/mortgage is &gt; $0",""),"")</f>
      </c>
    </row>
    <row r="39" spans="2:3" ht="13.5">
      <c r="B39" s="16" t="s">
        <v>41</v>
      </c>
      <c r="C39" s="32"/>
    </row>
    <row r="40" spans="2:3" ht="12.75" customHeight="1" thickBot="1">
      <c r="B40" s="16" t="s">
        <v>40</v>
      </c>
      <c r="C40" s="44"/>
    </row>
    <row r="41" spans="2:3" ht="12.75" customHeight="1" thickTop="1">
      <c r="B41" s="17" t="s">
        <v>43</v>
      </c>
      <c r="C41" s="116">
        <f>(SUA+XS_MonthlyRentMortg+XS_MonthlyFire+XS_MonthlyPropertyTax)</f>
        <v>594</v>
      </c>
    </row>
    <row r="42" spans="2:3" ht="13.5">
      <c r="B42" s="17" t="s">
        <v>98</v>
      </c>
      <c r="C42" s="40" t="e">
        <f>+Total_Adjusted_Income*0.5</f>
        <v>#VALUE!</v>
      </c>
    </row>
    <row r="43" spans="2:4" ht="13.5">
      <c r="B43" s="17" t="s">
        <v>36</v>
      </c>
      <c r="C43" s="40" t="e">
        <f>(+Total_Unadj_ShelterCosts-Total_Adj_Income_HALF_OF)</f>
        <v>#VALUE!</v>
      </c>
      <c r="D43" s="100" t="e">
        <f>IF(XS_ShelterCosts_Adj&lt;0,"Negative numbers are treated as 0","")</f>
        <v>#VALUE!</v>
      </c>
    </row>
    <row r="44" spans="2:4" ht="15" thickBot="1">
      <c r="B44" s="21" t="s">
        <v>47</v>
      </c>
      <c r="C44" s="84" t="e">
        <f>VLOOKUP(HH_Status,XS_ShelterDedTable,2,TRUE)</f>
        <v>#VALUE!</v>
      </c>
      <c r="D44" s="100" t="e">
        <f>IF(XS_ShelterCosts_Adj&lt;0,"to calculate the deduction.","")</f>
        <v>#VALUE!</v>
      </c>
    </row>
    <row r="45" spans="3:4" ht="15.75" customHeight="1">
      <c r="C45" s="112">
        <f>IF(HH_Total&gt;0,VLOOKUP(HH_Status,XS_ShelterTable,2,TRUE),"")</f>
      </c>
      <c r="D45" s="80"/>
    </row>
    <row r="46" spans="2:3" ht="15.75" customHeight="1" thickBot="1">
      <c r="B46" s="113"/>
      <c r="C46" s="112">
        <f>IF(HH_Total&gt;0,VLOOKUP(HH_Status,XS_ShelterTable,3,TRUE),"")</f>
      </c>
    </row>
    <row r="47" spans="2:4" ht="18" customHeight="1">
      <c r="B47" s="24" t="s">
        <v>22</v>
      </c>
      <c r="C47" s="23"/>
      <c r="D47" s="128" t="e">
        <f>IF((Total_Adjusted_Income)-(Total_XS_Shelter_Deduction)&lt;0," This is negative because the XS shelter ","")</f>
        <v>#VALUE!</v>
      </c>
    </row>
    <row r="48" spans="2:11" ht="13.5">
      <c r="B48" s="17" t="s">
        <v>48</v>
      </c>
      <c r="C48" s="40" t="e">
        <f>(Total_Adjusted_Income)-(Total_XS_Shelter_Deduction)</f>
        <v>#VALUE!</v>
      </c>
      <c r="D48" s="100" t="e">
        <f>IF((Total_Adjusted_Income)-(Total_XS_Shelter_Deduction)&lt;0,"   &lt; deduction is larger than the HH income.","")</f>
        <v>#VALUE!</v>
      </c>
      <c r="J48" s="3" t="e">
        <f>MAX(0,(Total_MaxMonthly_HHBenefit-Total_ThirdofTotalNetIncome))</f>
        <v>#N/A</v>
      </c>
      <c r="K48" s="3" t="s">
        <v>196</v>
      </c>
    </row>
    <row r="49" spans="2:11" ht="13.5">
      <c r="B49" s="16" t="str">
        <f>IF(HH_Total&lt;2,CONCATENATE("  4.2  Maximum Monthly Benefit for a household with  ",HH_Total,"  member"),CONCATENATE("  4.2  Maximum Monthly Benefit for a household with  ",HH_Total,"  members"))</f>
        <v>  4.2  Maximum Monthly Benefit for a household with    member</v>
      </c>
      <c r="C49" s="40" t="e">
        <f>IF(HH_Total&lt;MaxBen_AddCount,VLOOKUP(HH_Total,Max_Benefit_Table,2,1),((MaxBen_AddCountDollar*(HH_Total-MaxBen_MaxCount))+MaxBen_MaxCountDollar))</f>
        <v>#N/A</v>
      </c>
      <c r="J49" s="122" t="e">
        <f>IF(ProceedStop&gt;0,IF(HH_Total&lt;3,IF(BenefitCalc_Initial&lt;Min_Benefit,Min_Benefit,(Total_MaxMonthly_HHBenefit-Total_ThirdofTotalNetIncome)),MAX(0,(Total_MaxMonthly_HHBenefit-Total_ThirdofTotalNetIncome))),"")</f>
        <v>#N/A</v>
      </c>
      <c r="K49" s="3" t="s">
        <v>197</v>
      </c>
    </row>
    <row r="50" spans="2:10" ht="15" thickBot="1">
      <c r="B50" s="17" t="s">
        <v>49</v>
      </c>
      <c r="C50" s="52" t="e">
        <f>MAX(Total_Net_Income*0.3,0)</f>
        <v>#VALUE!</v>
      </c>
      <c r="D50" s="93"/>
      <c r="J50" s="126"/>
    </row>
    <row r="51" spans="2:4" ht="16.5" thickBot="1">
      <c r="B51" s="51" t="s">
        <v>50</v>
      </c>
      <c r="C51" s="69" t="e">
        <f>IF(ProceedStop&gt;0,IF(HH_Total&lt;3,IF(BenefitCalc_Initial&lt;Min_Benefit,Min_Benefit,(Total_MaxMonthly_HHBenefit-Total_ThirdofTotalNetIncome)),MAX(0,(Total_MaxMonthly_HHBenefit-Total_ThirdofTotalNetIncome))),"")</f>
        <v>#N/A</v>
      </c>
      <c r="D51" s="67" t="e">
        <f>IF(BenefitCalc_Final=Min_Benefit,"This is the Minimum Benefit.","")</f>
        <v>#N/A</v>
      </c>
    </row>
    <row r="52" spans="2:10" ht="18" customHeight="1">
      <c r="B52" s="145" t="str">
        <f>IF(J28&gt;1,K28,"")</f>
        <v>Client qualifies for EXPEDITED SNAP !</v>
      </c>
      <c r="C52" s="144"/>
      <c r="D52" s="93"/>
      <c r="J52" s="72"/>
    </row>
    <row r="53" spans="3:10" ht="12.75">
      <c r="C53" s="130" t="s">
        <v>207</v>
      </c>
      <c r="E53" s="43"/>
      <c r="F53" s="43"/>
      <c r="G53" s="43"/>
      <c r="H53" s="43"/>
      <c r="J53" s="73"/>
    </row>
    <row r="54" spans="2:8" ht="12.75">
      <c r="B54"/>
      <c r="C54" s="136">
        <v>43739</v>
      </c>
      <c r="E54" s="59"/>
      <c r="F54" s="59"/>
      <c r="G54" s="59"/>
      <c r="H54" s="59"/>
    </row>
    <row r="55" spans="2:12" ht="12.75">
      <c r="B55" s="60"/>
      <c r="C55" s="106"/>
      <c r="D55" s="55"/>
      <c r="E55" s="57"/>
      <c r="F55" s="57"/>
      <c r="G55" s="57"/>
      <c r="H55" s="57"/>
      <c r="I55"/>
      <c r="J55"/>
      <c r="L55"/>
    </row>
    <row r="56" spans="2:12" ht="12.75">
      <c r="B56" s="60"/>
      <c r="C56" s="107"/>
      <c r="D56" s="58"/>
      <c r="E56" s="57"/>
      <c r="F56" s="57"/>
      <c r="G56" s="57"/>
      <c r="H56" s="57"/>
      <c r="I56"/>
      <c r="J56"/>
      <c r="K56" s="81"/>
      <c r="L56"/>
    </row>
    <row r="57" spans="2:12" ht="12.75">
      <c r="B57" s="98"/>
      <c r="C57" s="108"/>
      <c r="D57" s="56"/>
      <c r="E57" s="57"/>
      <c r="F57" s="57"/>
      <c r="G57" s="57"/>
      <c r="H57" s="57"/>
      <c r="I57"/>
      <c r="J57" s="72"/>
      <c r="K57" s="78"/>
      <c r="L57"/>
    </row>
    <row r="58" spans="2:12" ht="12.75">
      <c r="B58" s="61"/>
      <c r="C58" s="61"/>
      <c r="D58" s="56"/>
      <c r="E58" s="57"/>
      <c r="F58" s="57"/>
      <c r="G58" s="57"/>
      <c r="H58" s="57"/>
      <c r="I58"/>
      <c r="J58" s="72"/>
      <c r="K58" s="94"/>
      <c r="L58"/>
    </row>
    <row r="59" spans="2:12" ht="12.75">
      <c r="B59" s="58"/>
      <c r="C59" s="56"/>
      <c r="D59" s="56"/>
      <c r="E59" s="56"/>
      <c r="F59" s="56"/>
      <c r="G59" s="56"/>
      <c r="H59" s="56"/>
      <c r="I59"/>
      <c r="K59"/>
      <c r="L59"/>
    </row>
    <row r="60" spans="2:17" ht="12.75">
      <c r="B60"/>
      <c r="C60"/>
      <c r="D60"/>
      <c r="E60"/>
      <c r="F60"/>
      <c r="G60"/>
      <c r="H60"/>
      <c r="K60" s="72"/>
      <c r="L60"/>
      <c r="M60"/>
      <c r="N60"/>
      <c r="O60"/>
      <c r="P60"/>
      <c r="Q60"/>
    </row>
    <row r="61" spans="2:17" ht="12.75">
      <c r="B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2:17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2:17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2:17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2:17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2:17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2:17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2:17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2:17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2:17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2:17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2:17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2:17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2:17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2:17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2:17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2:17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2:17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2:17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</sheetData>
  <sheetProtection selectLockedCells="1"/>
  <conditionalFormatting sqref="D9">
    <cfRule type="cellIs" priority="1" dxfId="0" operator="greaterThan" stopIfTrue="1">
      <formula>$C$9</formula>
    </cfRule>
  </conditionalFormatting>
  <conditionalFormatting sqref="C10">
    <cfRule type="expression" priority="2" dxfId="0" stopIfTrue="1">
      <formula>"if(b9=""n"", if(b24&gt;f9, ""Too many expenses""),""y"")"</formula>
    </cfRule>
  </conditionalFormatting>
  <dataValidations count="3">
    <dataValidation type="whole" allowBlank="1" showInputMessage="1" showErrorMessage="1" sqref="C9">
      <formula1>1</formula1>
      <formula2>99</formula2>
    </dataValidation>
    <dataValidation type="list" allowBlank="1" showDropDown="1" showInputMessage="1" showErrorMessage="1" sqref="C10:C12 C33:C36">
      <formula1>"y,n"</formula1>
    </dataValidation>
    <dataValidation type="whole" allowBlank="1" showInputMessage="1" showErrorMessage="1" sqref="C16 C19 C24 C26:C27 C38:C40">
      <formula1>0</formula1>
      <formula2>999999999</formula2>
    </dataValidation>
  </dataValidations>
  <hyperlinks>
    <hyperlink ref="B5" r:id="rId1" display="www.clsphila.org"/>
    <hyperlink ref="Q13" location="HH_StatusTable" display="HH_StatusTable"/>
  </hyperlinks>
  <printOptions/>
  <pageMargins left="0.5" right="0.5" top="0.5" bottom="0.5" header="0.5" footer="0.5"/>
  <pageSetup fitToHeight="1" fitToWidth="1" horizontalDpi="600" verticalDpi="600" orientation="portrait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07"/>
  <sheetViews>
    <sheetView zoomScalePageLayoutView="0" workbookViewId="0" topLeftCell="A120">
      <selection activeCell="C100" sqref="C100"/>
    </sheetView>
  </sheetViews>
  <sheetFormatPr defaultColWidth="11.421875" defaultRowHeight="12.75"/>
  <cols>
    <col min="1" max="1" width="8.8515625" style="0" customWidth="1"/>
    <col min="2" max="2" width="6.00390625" style="0" customWidth="1"/>
    <col min="3" max="3" width="26.140625" style="0" customWidth="1"/>
    <col min="4" max="4" width="27.421875" style="0" customWidth="1"/>
    <col min="5" max="5" width="27.8515625" style="0" customWidth="1"/>
    <col min="6" max="6" width="12.421875" style="0" customWidth="1"/>
    <col min="7" max="7" width="14.421875" style="0" customWidth="1"/>
    <col min="8" max="8" width="8.8515625" style="0" customWidth="1"/>
    <col min="9" max="9" width="44.140625" style="0" customWidth="1"/>
    <col min="10" max="11" width="8.8515625" style="0" customWidth="1"/>
    <col min="12" max="12" width="17.8515625" style="0" bestFit="1" customWidth="1"/>
    <col min="13" max="13" width="21.00390625" style="0" customWidth="1"/>
    <col min="14" max="28" width="8.8515625" style="0" customWidth="1"/>
    <col min="29" max="29" width="65.421875" style="47" customWidth="1"/>
    <col min="30" max="16384" width="8.8515625" style="0" customWidth="1"/>
  </cols>
  <sheetData>
    <row r="1" ht="12.75"/>
    <row r="2" spans="1:3" ht="12.75">
      <c r="A2" s="31" t="s">
        <v>20</v>
      </c>
      <c r="B2" s="31"/>
      <c r="C2" s="31" t="s">
        <v>157</v>
      </c>
    </row>
    <row r="3" spans="1:3" ht="12.75">
      <c r="A3" s="13"/>
      <c r="B3" s="13"/>
      <c r="C3" s="14"/>
    </row>
    <row r="4" spans="1:3" ht="12.75">
      <c r="A4" s="13"/>
      <c r="B4" s="13"/>
      <c r="C4" s="14"/>
    </row>
    <row r="5" spans="1:6" ht="13.5" thickBot="1">
      <c r="A5" s="88" t="s">
        <v>111</v>
      </c>
      <c r="B5" s="88"/>
      <c r="C5" s="90"/>
      <c r="D5" s="3"/>
      <c r="F5" s="2"/>
    </row>
    <row r="6" ht="12.75"/>
    <row r="7" spans="1:2" ht="12.75">
      <c r="A7" s="1" t="s">
        <v>44</v>
      </c>
      <c r="B7" s="1"/>
    </row>
    <row r="8" ht="12.75">
      <c r="B8" s="1" t="s">
        <v>123</v>
      </c>
    </row>
    <row r="9" ht="15.75">
      <c r="C9" t="s">
        <v>58</v>
      </c>
    </row>
    <row r="10" ht="12.75"/>
    <row r="11" ht="12.75">
      <c r="C11" t="s">
        <v>134</v>
      </c>
    </row>
    <row r="12" ht="12.75">
      <c r="C12" t="s">
        <v>135</v>
      </c>
    </row>
    <row r="13" ht="12.75">
      <c r="C13" t="s">
        <v>136</v>
      </c>
    </row>
    <row r="14" ht="12.75">
      <c r="C14" t="s">
        <v>59</v>
      </c>
    </row>
    <row r="15" ht="12.75">
      <c r="AC15"/>
    </row>
    <row r="16" ht="12.75">
      <c r="C16" t="s">
        <v>131</v>
      </c>
    </row>
    <row r="17" ht="12.75">
      <c r="C17" t="s">
        <v>160</v>
      </c>
    </row>
    <row r="18" ht="12.75"/>
    <row r="19" ht="12.75">
      <c r="B19" s="1" t="s">
        <v>124</v>
      </c>
    </row>
    <row r="20" spans="1:3" ht="12.75">
      <c r="A20" s="1"/>
      <c r="B20" s="1"/>
      <c r="C20" t="s">
        <v>57</v>
      </c>
    </row>
    <row r="21" spans="1:6" ht="12.75">
      <c r="A21" s="1"/>
      <c r="B21" s="1"/>
      <c r="F21" s="53"/>
    </row>
    <row r="22" ht="12.75">
      <c r="B22" s="1" t="s">
        <v>125</v>
      </c>
    </row>
    <row r="23" spans="1:3" ht="12.75">
      <c r="A23" s="1"/>
      <c r="B23" s="1"/>
      <c r="C23" t="s">
        <v>52</v>
      </c>
    </row>
    <row r="24" spans="1:4" ht="12.75">
      <c r="A24" s="1"/>
      <c r="B24" s="1"/>
      <c r="C24" t="s">
        <v>66</v>
      </c>
      <c r="D24" s="53" t="s">
        <v>68</v>
      </c>
    </row>
    <row r="25" spans="1:2" ht="12.75">
      <c r="A25" s="1"/>
      <c r="B25" s="1"/>
    </row>
    <row r="26" ht="12.75">
      <c r="B26" s="1" t="s">
        <v>126</v>
      </c>
    </row>
    <row r="27" spans="1:3" ht="12.75">
      <c r="A27" s="1"/>
      <c r="B27" s="1"/>
      <c r="C27" t="s">
        <v>55</v>
      </c>
    </row>
    <row r="28" spans="1:3" ht="12.75">
      <c r="A28" s="1"/>
      <c r="B28" s="1"/>
      <c r="C28" t="s">
        <v>56</v>
      </c>
    </row>
    <row r="29" spans="1:3" ht="12.75">
      <c r="A29" s="1"/>
      <c r="B29" s="1"/>
      <c r="C29" t="s">
        <v>63</v>
      </c>
    </row>
    <row r="30" spans="1:3" ht="12.75">
      <c r="A30" s="1"/>
      <c r="B30" s="1"/>
      <c r="C30" t="s">
        <v>64</v>
      </c>
    </row>
    <row r="31" spans="1:2" ht="12.75">
      <c r="A31" s="1"/>
      <c r="B31" s="1"/>
    </row>
    <row r="32" spans="1:2" ht="12.75">
      <c r="A32" s="1"/>
      <c r="B32" s="1"/>
    </row>
    <row r="33" spans="1:4" ht="13.5" thickBot="1">
      <c r="A33" s="88" t="s">
        <v>112</v>
      </c>
      <c r="B33" s="88"/>
      <c r="C33" s="89"/>
      <c r="D33" s="3"/>
    </row>
    <row r="34" spans="1:3" ht="12.75">
      <c r="A34" s="13"/>
      <c r="B34" s="13"/>
      <c r="C34" s="14"/>
    </row>
    <row r="35" spans="1:2" ht="12.75">
      <c r="A35" s="1" t="s">
        <v>54</v>
      </c>
      <c r="B35" s="1"/>
    </row>
    <row r="36" spans="1:3" ht="12.75">
      <c r="A36" s="1"/>
      <c r="B36" s="1"/>
      <c r="C36" t="s">
        <v>53</v>
      </c>
    </row>
    <row r="37" spans="1:3" ht="12.75">
      <c r="A37" s="1"/>
      <c r="B37" s="1"/>
      <c r="C37" t="s">
        <v>161</v>
      </c>
    </row>
    <row r="38" spans="1:3" ht="12.75">
      <c r="A38" s="1"/>
      <c r="B38" s="1"/>
      <c r="C38" t="s">
        <v>185</v>
      </c>
    </row>
    <row r="39" spans="1:6" ht="12.75">
      <c r="A39" s="1"/>
      <c r="B39" s="1"/>
      <c r="F39" s="2"/>
    </row>
    <row r="40" spans="1:2" ht="12.75">
      <c r="A40" s="1" t="s">
        <v>0</v>
      </c>
      <c r="B40" s="1"/>
    </row>
    <row r="41" ht="12.75"/>
    <row r="42" spans="2:3" ht="12.75">
      <c r="B42" t="s">
        <v>162</v>
      </c>
      <c r="C42" t="s">
        <v>30</v>
      </c>
    </row>
    <row r="43" spans="2:3" ht="12.75">
      <c r="B43" t="s">
        <v>162</v>
      </c>
      <c r="C43" t="s">
        <v>31</v>
      </c>
    </row>
    <row r="44" ht="12.75"/>
    <row r="45" spans="1:3" ht="12.75">
      <c r="A45" s="1" t="s">
        <v>23</v>
      </c>
      <c r="B45" s="1"/>
      <c r="C45" s="14"/>
    </row>
    <row r="46" spans="1:3" ht="12.75">
      <c r="A46" s="1"/>
      <c r="B46" s="1"/>
      <c r="C46" s="30" t="s">
        <v>32</v>
      </c>
    </row>
    <row r="47" spans="1:3" ht="12.75">
      <c r="A47" s="1"/>
      <c r="B47" s="1"/>
      <c r="C47" s="30" t="s">
        <v>33</v>
      </c>
    </row>
    <row r="48" spans="1:3" ht="12.75">
      <c r="A48" s="1"/>
      <c r="B48" s="1"/>
      <c r="C48" s="30" t="s">
        <v>28</v>
      </c>
    </row>
    <row r="49" spans="1:4" ht="12.75">
      <c r="A49" s="13"/>
      <c r="B49" s="13"/>
      <c r="C49" s="6" t="s">
        <v>24</v>
      </c>
      <c r="D49" s="6" t="s">
        <v>26</v>
      </c>
    </row>
    <row r="50" spans="1:5" ht="12.75">
      <c r="A50" s="13"/>
      <c r="B50" s="13"/>
      <c r="C50" s="6" t="s">
        <v>25</v>
      </c>
      <c r="D50" s="6" t="s">
        <v>27</v>
      </c>
      <c r="E50" s="30" t="s">
        <v>130</v>
      </c>
    </row>
    <row r="51" spans="1:4" ht="12.75">
      <c r="A51" s="13"/>
      <c r="B51" s="13"/>
      <c r="C51" s="5">
        <v>1</v>
      </c>
      <c r="D51" s="12">
        <f>Data!C16</f>
        <v>1666</v>
      </c>
    </row>
    <row r="52" spans="1:4" ht="12.75">
      <c r="A52" s="13"/>
      <c r="B52" s="13"/>
      <c r="C52" s="5">
        <v>2</v>
      </c>
      <c r="D52" s="12">
        <f>Data!C17</f>
        <v>2256</v>
      </c>
    </row>
    <row r="53" spans="1:4" ht="12.75">
      <c r="A53" s="13"/>
      <c r="B53" s="13"/>
      <c r="C53" s="5">
        <v>3</v>
      </c>
      <c r="D53" s="12">
        <f>Data!C18</f>
        <v>2845</v>
      </c>
    </row>
    <row r="54" spans="1:4" ht="12.75">
      <c r="A54" s="13"/>
      <c r="B54" s="13"/>
      <c r="C54" s="5">
        <v>4</v>
      </c>
      <c r="D54" s="12">
        <f>Data!C19</f>
        <v>3434</v>
      </c>
    </row>
    <row r="55" spans="1:4" ht="12.75">
      <c r="A55" s="13"/>
      <c r="B55" s="13"/>
      <c r="C55" s="5">
        <v>5</v>
      </c>
      <c r="D55" s="12">
        <f>Data!C20</f>
        <v>4024</v>
      </c>
    </row>
    <row r="56" spans="1:4" ht="12.75">
      <c r="A56" s="13"/>
      <c r="B56" s="13"/>
      <c r="C56" s="5">
        <v>6</v>
      </c>
      <c r="D56" s="12">
        <f>Data!C21</f>
        <v>4613</v>
      </c>
    </row>
    <row r="57" spans="1:4" ht="12.75">
      <c r="A57" s="13"/>
      <c r="B57" s="13"/>
      <c r="C57" s="5">
        <v>7</v>
      </c>
      <c r="D57" s="12">
        <f>Data!C22</f>
        <v>5202</v>
      </c>
    </row>
    <row r="58" spans="1:4" ht="12.75">
      <c r="A58" s="13"/>
      <c r="B58" s="13"/>
      <c r="C58" s="5">
        <v>8</v>
      </c>
      <c r="D58" s="12">
        <f>Data!C23</f>
        <v>5792</v>
      </c>
    </row>
    <row r="59" spans="1:4" ht="12.75">
      <c r="A59" s="13"/>
      <c r="B59" s="13"/>
      <c r="C59" s="5">
        <v>9</v>
      </c>
      <c r="D59" s="12">
        <f>Data!C24</f>
        <v>6382</v>
      </c>
    </row>
    <row r="60" spans="1:4" ht="12.75">
      <c r="A60" s="13"/>
      <c r="B60" s="13"/>
      <c r="C60" s="5">
        <v>10</v>
      </c>
      <c r="D60" s="12">
        <f>Data!C25</f>
        <v>6972</v>
      </c>
    </row>
    <row r="61" spans="1:4" ht="12.75">
      <c r="A61" s="13"/>
      <c r="B61" s="13"/>
      <c r="C61" s="5" t="s">
        <v>38</v>
      </c>
      <c r="D61" s="5">
        <f>Gross_Add_Dollar</f>
        <v>590</v>
      </c>
    </row>
    <row r="62" spans="1:3" ht="12.75">
      <c r="A62" s="13"/>
      <c r="B62" s="13"/>
      <c r="C62" s="14"/>
    </row>
    <row r="63" spans="1:8" ht="12.75">
      <c r="A63" s="1" t="s">
        <v>46</v>
      </c>
      <c r="B63" s="1"/>
      <c r="H63" s="1"/>
    </row>
    <row r="64" spans="3:9" ht="12.75">
      <c r="C64" s="6" t="s">
        <v>17</v>
      </c>
      <c r="D64" s="6" t="s">
        <v>19</v>
      </c>
      <c r="E64" s="6" t="s">
        <v>80</v>
      </c>
      <c r="G64" s="6"/>
      <c r="H64" s="1"/>
      <c r="I64" s="1"/>
    </row>
    <row r="65" spans="3:9" ht="12.75">
      <c r="C65" s="6" t="s">
        <v>18</v>
      </c>
      <c r="D65" s="6" t="s">
        <v>16</v>
      </c>
      <c r="E65" s="6" t="s">
        <v>81</v>
      </c>
      <c r="G65" s="6"/>
      <c r="I65" s="10"/>
    </row>
    <row r="66" spans="3:9" ht="12.75">
      <c r="C66" s="5">
        <v>1</v>
      </c>
      <c r="D66" s="12">
        <f>Data!C55</f>
        <v>194</v>
      </c>
      <c r="E66" s="12">
        <f>Data!C83</f>
        <v>167</v>
      </c>
      <c r="F66" s="5"/>
      <c r="G66" s="5"/>
      <c r="I66" s="10"/>
    </row>
    <row r="67" spans="3:9" ht="12.75">
      <c r="C67" s="5">
        <v>2</v>
      </c>
      <c r="D67" s="12">
        <f>Data!C56</f>
        <v>355</v>
      </c>
      <c r="E67" s="12">
        <f>Data!C84</f>
        <v>167</v>
      </c>
      <c r="F67" s="5"/>
      <c r="G67" s="5"/>
      <c r="I67" s="10"/>
    </row>
    <row r="68" spans="3:9" ht="12.75">
      <c r="C68" s="5">
        <v>3</v>
      </c>
      <c r="D68" s="12">
        <f>Data!C57</f>
        <v>509</v>
      </c>
      <c r="E68" s="12">
        <f>Data!C85</f>
        <v>167</v>
      </c>
      <c r="F68" s="5"/>
      <c r="G68" s="5"/>
      <c r="I68" s="10"/>
    </row>
    <row r="69" spans="3:9" ht="12.75">
      <c r="C69" s="5">
        <v>4</v>
      </c>
      <c r="D69" s="12">
        <f>Data!C58</f>
        <v>646</v>
      </c>
      <c r="E69" s="12">
        <f>Data!C86</f>
        <v>178</v>
      </c>
      <c r="F69" s="5"/>
      <c r="G69" s="5"/>
      <c r="I69" s="10"/>
    </row>
    <row r="70" spans="3:9" ht="12.75">
      <c r="C70" s="5">
        <v>5</v>
      </c>
      <c r="D70" s="12">
        <f>Data!C59</f>
        <v>768</v>
      </c>
      <c r="E70" s="12">
        <f>Data!C87</f>
        <v>209</v>
      </c>
      <c r="F70" s="5"/>
      <c r="G70" s="5"/>
      <c r="H70" s="9"/>
      <c r="I70" s="10"/>
    </row>
    <row r="71" spans="3:7" ht="12.75">
      <c r="C71" s="5">
        <v>6</v>
      </c>
      <c r="D71" s="12">
        <f>Data!C60</f>
        <v>921</v>
      </c>
      <c r="E71" s="12">
        <f>Data!C88</f>
        <v>240</v>
      </c>
      <c r="F71" s="5"/>
      <c r="G71" s="5"/>
    </row>
    <row r="72" spans="3:7" ht="12.75">
      <c r="C72" s="5">
        <v>7</v>
      </c>
      <c r="D72" s="12">
        <f>Data!C61</f>
        <v>1018</v>
      </c>
      <c r="E72" s="12">
        <f>Data!C88</f>
        <v>240</v>
      </c>
      <c r="F72" s="5"/>
      <c r="G72" s="5"/>
    </row>
    <row r="73" spans="3:7" ht="12.75">
      <c r="C73" s="5">
        <v>8</v>
      </c>
      <c r="D73" s="12">
        <f>Data!C62</f>
        <v>1164</v>
      </c>
      <c r="E73" s="12">
        <f>Data!C88</f>
        <v>240</v>
      </c>
      <c r="F73" s="5"/>
      <c r="G73" s="5"/>
    </row>
    <row r="74" spans="3:7" ht="12.75">
      <c r="C74" s="5">
        <v>9</v>
      </c>
      <c r="D74" s="12">
        <f>Data!C63</f>
        <v>1310</v>
      </c>
      <c r="E74" s="12">
        <f>Data!C88</f>
        <v>240</v>
      </c>
      <c r="F74" s="5"/>
      <c r="G74" s="5"/>
    </row>
    <row r="75" spans="3:7" ht="12.75">
      <c r="C75" s="5">
        <v>10</v>
      </c>
      <c r="D75" s="12">
        <f>Data!C64</f>
        <v>1456</v>
      </c>
      <c r="E75" s="12">
        <f>Data!C88</f>
        <v>240</v>
      </c>
      <c r="F75" s="5"/>
      <c r="G75" s="5"/>
    </row>
    <row r="76" spans="3:7" ht="12.75">
      <c r="C76" s="5" t="s">
        <v>38</v>
      </c>
      <c r="D76" s="12">
        <f>MaxBen_AddCountDollar</f>
        <v>146</v>
      </c>
      <c r="E76" s="5">
        <f>Data!C88</f>
        <v>240</v>
      </c>
      <c r="F76" s="5"/>
      <c r="G76" s="5"/>
    </row>
    <row r="77" spans="3:7" ht="12.75">
      <c r="C77" s="5"/>
      <c r="D77" s="12"/>
      <c r="E77" s="5"/>
      <c r="F77" s="5"/>
      <c r="G77" s="5"/>
    </row>
    <row r="78" spans="1:7" ht="12.75">
      <c r="A78" s="1" t="s">
        <v>186</v>
      </c>
      <c r="C78" s="5"/>
      <c r="D78" s="12"/>
      <c r="E78" s="5"/>
      <c r="F78" s="5"/>
      <c r="G78" s="5"/>
    </row>
    <row r="79" spans="3:7" ht="12.75">
      <c r="C79" s="64" t="s">
        <v>190</v>
      </c>
      <c r="D79" s="12"/>
      <c r="E79" s="5"/>
      <c r="F79" s="5"/>
      <c r="G79" s="5"/>
    </row>
    <row r="80" spans="3:7" ht="12.75">
      <c r="C80" s="64" t="s">
        <v>187</v>
      </c>
      <c r="D80" s="12"/>
      <c r="E80" s="5"/>
      <c r="F80" s="5"/>
      <c r="G80" s="5"/>
    </row>
    <row r="81" spans="3:7" ht="12.75">
      <c r="C81" s="125" t="s">
        <v>191</v>
      </c>
      <c r="D81" s="12"/>
      <c r="E81" s="5"/>
      <c r="F81" s="5"/>
      <c r="G81" s="5"/>
    </row>
    <row r="82" spans="3:7" ht="12.75">
      <c r="C82" s="64" t="s">
        <v>192</v>
      </c>
      <c r="D82" s="12"/>
      <c r="E82" s="5"/>
      <c r="F82" s="5"/>
      <c r="G82" s="5"/>
    </row>
    <row r="83" spans="3:7" ht="12.75">
      <c r="C83" s="64" t="s">
        <v>193</v>
      </c>
      <c r="D83" s="12"/>
      <c r="E83" s="5"/>
      <c r="F83" s="5"/>
      <c r="G83" s="5"/>
    </row>
    <row r="84" spans="3:7" ht="12.75">
      <c r="C84" s="64" t="s">
        <v>194</v>
      </c>
      <c r="D84" s="12"/>
      <c r="E84" s="5"/>
      <c r="F84" s="5"/>
      <c r="G84" s="5"/>
    </row>
    <row r="85" spans="3:7" ht="12.75">
      <c r="C85" s="64" t="s">
        <v>195</v>
      </c>
      <c r="D85" s="12"/>
      <c r="E85" s="5"/>
      <c r="F85" s="5"/>
      <c r="G85" s="5"/>
    </row>
    <row r="87" spans="1:2" ht="12.75">
      <c r="A87" s="1" t="s">
        <v>133</v>
      </c>
      <c r="B87" s="1"/>
    </row>
    <row r="88" spans="1:2" ht="12.75">
      <c r="A88" s="1"/>
      <c r="B88" s="1" t="s">
        <v>132</v>
      </c>
    </row>
    <row r="89" ht="12.75">
      <c r="C89" t="s">
        <v>65</v>
      </c>
    </row>
    <row r="91" ht="12.75">
      <c r="F91" s="2"/>
    </row>
    <row r="92" spans="1:6" ht="13.5" thickBot="1">
      <c r="A92" s="88" t="s">
        <v>113</v>
      </c>
      <c r="B92" s="88"/>
      <c r="C92" s="90"/>
      <c r="D92" s="3"/>
      <c r="F92" s="2"/>
    </row>
    <row r="94" spans="1:2" ht="12.75">
      <c r="A94" s="1" t="s">
        <v>15</v>
      </c>
      <c r="B94" s="1"/>
    </row>
    <row r="95" spans="1:3" ht="12.75">
      <c r="A95" s="1"/>
      <c r="B95" s="1"/>
      <c r="C95" t="s">
        <v>118</v>
      </c>
    </row>
    <row r="96" spans="1:3" ht="12.75">
      <c r="A96" s="1"/>
      <c r="B96" s="1"/>
      <c r="C96" t="s">
        <v>121</v>
      </c>
    </row>
    <row r="97" spans="1:3" ht="12.75">
      <c r="A97" s="1"/>
      <c r="B97" s="1"/>
      <c r="C97" t="s">
        <v>119</v>
      </c>
    </row>
    <row r="98" spans="1:4" ht="12.75">
      <c r="A98" s="1"/>
      <c r="B98" s="1"/>
      <c r="D98" t="s">
        <v>120</v>
      </c>
    </row>
    <row r="99" spans="1:2" ht="12.75">
      <c r="A99" s="1"/>
      <c r="B99" s="1"/>
    </row>
    <row r="100" spans="1:5" ht="12.75">
      <c r="A100" s="1"/>
      <c r="B100" s="1"/>
      <c r="C100" s="65">
        <f>Data!C6</f>
        <v>594</v>
      </c>
      <c r="D100" t="s">
        <v>74</v>
      </c>
      <c r="E100" s="26" t="s">
        <v>7</v>
      </c>
    </row>
    <row r="101" spans="1:5" ht="12.75">
      <c r="A101" s="1"/>
      <c r="B101" s="1"/>
      <c r="C101" s="65">
        <f>Data!C7</f>
        <v>308</v>
      </c>
      <c r="D101" t="s">
        <v>75</v>
      </c>
      <c r="E101" s="26" t="s">
        <v>8</v>
      </c>
    </row>
    <row r="102" spans="1:5" ht="12.75">
      <c r="A102" s="1"/>
      <c r="B102" s="1"/>
      <c r="C102" s="65">
        <f>Data!C8</f>
        <v>58</v>
      </c>
      <c r="D102" t="s">
        <v>76</v>
      </c>
      <c r="E102" s="26" t="s">
        <v>9</v>
      </c>
    </row>
    <row r="103" spans="1:5" ht="12.75">
      <c r="A103" s="1"/>
      <c r="B103" s="1"/>
      <c r="C103" s="65">
        <f>Data!C9</f>
        <v>33</v>
      </c>
      <c r="D103" t="s">
        <v>77</v>
      </c>
      <c r="E103" s="26" t="s">
        <v>10</v>
      </c>
    </row>
    <row r="104" spans="1:4" ht="12.75">
      <c r="A104" s="1"/>
      <c r="B104" s="1"/>
      <c r="D104" s="26"/>
    </row>
    <row r="105" spans="1:2" ht="12.75">
      <c r="A105" s="1" t="s">
        <v>127</v>
      </c>
      <c r="B105" s="1"/>
    </row>
    <row r="106" spans="1:2" ht="12.75">
      <c r="A106" s="1"/>
      <c r="B106" s="1"/>
    </row>
    <row r="107" ht="12.75">
      <c r="B107" s="92" t="s">
        <v>114</v>
      </c>
    </row>
    <row r="108" spans="2:3" ht="12.75">
      <c r="B108" s="91"/>
      <c r="C108" t="str">
        <f>CONCATENATE("The Excess Shelter Deduction is capped at  $",XS_Shelter_Max)</f>
        <v>The Excess Shelter Deduction is capped at  $569</v>
      </c>
    </row>
    <row r="109" ht="12.75">
      <c r="B109" s="91"/>
    </row>
    <row r="110" spans="1:2" ht="12.75">
      <c r="A110" s="1"/>
      <c r="B110" s="92" t="s">
        <v>45</v>
      </c>
    </row>
    <row r="111" spans="1:3" ht="12.75">
      <c r="A111" s="1"/>
      <c r="B111" s="91"/>
      <c r="C111" t="str">
        <f>CONCATENATE("If the Household is Homeless, they may deduct the larger of the calculated Excess Shelter Costs or  $",XS_Shelter_Homeless)</f>
        <v>If the Household is Homeless, they may deduct the larger of the calculated Excess Shelter Costs or  $152</v>
      </c>
    </row>
    <row r="112" spans="1:3" ht="12.75">
      <c r="A112" s="1"/>
      <c r="B112" s="91"/>
      <c r="C112" t="str">
        <f>CONCATENATE("The Excess Shelter Deduction is capped at  $",XS_Shelter_Max)</f>
        <v>The Excess Shelter Deduction is capped at  $569</v>
      </c>
    </row>
    <row r="113" spans="1:2" ht="12.75">
      <c r="A113" s="1"/>
      <c r="B113" s="91"/>
    </row>
    <row r="114" spans="1:2" ht="12.75">
      <c r="A114" s="1"/>
      <c r="B114" s="92" t="s">
        <v>115</v>
      </c>
    </row>
    <row r="115" spans="1:3" ht="12.75">
      <c r="A115" s="1"/>
      <c r="B115" s="1"/>
      <c r="C115" t="s">
        <v>116</v>
      </c>
    </row>
    <row r="116" spans="3:6" ht="12.75">
      <c r="C116" t="s">
        <v>117</v>
      </c>
      <c r="F116" s="2"/>
    </row>
    <row r="117" ht="12.75">
      <c r="C117" t="str">
        <f>CONCATENATE("Although there is no cap, there also is no 'floor' of $",XS_Shelter_Homeless," as there is with the Homeless.")</f>
        <v>Although there is no cap, there also is no 'floor' of $152 as there is with the Homeless.</v>
      </c>
    </row>
    <row r="120" spans="1:6" ht="13.5" thickBot="1">
      <c r="A120" s="88" t="s">
        <v>122</v>
      </c>
      <c r="B120" s="88"/>
      <c r="C120" s="90"/>
      <c r="D120" s="3"/>
      <c r="F120" s="2"/>
    </row>
    <row r="122" ht="12.75">
      <c r="B122" s="1" t="s">
        <v>73</v>
      </c>
    </row>
    <row r="123" ht="12.75">
      <c r="C123" t="str">
        <f>CONCATENATE("Under some conditions, an otherwise ineligible HH may be eligible for a Minimum Benefit of $",Min_Benefit)</f>
        <v>Under some conditions, an otherwise ineligible HH may be eligible for a Minimum Benefit of $16</v>
      </c>
    </row>
    <row r="124" ht="12.75">
      <c r="C124" t="s">
        <v>79</v>
      </c>
    </row>
    <row r="126" spans="2:3" ht="12.75">
      <c r="B126" s="5">
        <v>1</v>
      </c>
      <c r="C126" t="s">
        <v>129</v>
      </c>
    </row>
    <row r="127" spans="2:3" ht="12.75">
      <c r="B127" s="5"/>
      <c r="C127" s="1" t="s">
        <v>128</v>
      </c>
    </row>
    <row r="128" spans="2:3" ht="12.75">
      <c r="B128" s="5">
        <v>2</v>
      </c>
      <c r="C128" t="s">
        <v>78</v>
      </c>
    </row>
    <row r="129" ht="12.75">
      <c r="C129" s="1"/>
    </row>
    <row r="130" ht="12.75">
      <c r="C130" t="s">
        <v>188</v>
      </c>
    </row>
    <row r="132" ht="12.75">
      <c r="C132" t="str">
        <f>CONCATENATE("The minimum benefit is for households of 1 or 2 people -- they can never get less than $",Min_Benefit," if they're eligible at all.")</f>
        <v>The minimum benefit is for households of 1 or 2 people -- they can never get less than $16 if they're eligible at all.</v>
      </c>
    </row>
    <row r="133" ht="12.75">
      <c r="C133" t="s">
        <v>158</v>
      </c>
    </row>
    <row r="146" ht="12.75">
      <c r="H146" s="3"/>
    </row>
    <row r="147" ht="12.75">
      <c r="H147" s="3"/>
    </row>
    <row r="148" ht="12.75">
      <c r="H148" s="3"/>
    </row>
    <row r="149" ht="12.75">
      <c r="H149" s="3"/>
    </row>
    <row r="150" ht="12.75">
      <c r="H150" s="3"/>
    </row>
    <row r="151" ht="12.75">
      <c r="H151" s="3"/>
    </row>
    <row r="152" ht="12.75">
      <c r="H152" s="3"/>
    </row>
    <row r="153" ht="12.75">
      <c r="H153" s="3"/>
    </row>
    <row r="154" ht="12.75">
      <c r="H154" s="3"/>
    </row>
    <row r="155" ht="12.75">
      <c r="H155" s="3"/>
    </row>
    <row r="156" ht="12.75">
      <c r="H156" s="3"/>
    </row>
    <row r="157" ht="12.75">
      <c r="H157" s="3"/>
    </row>
    <row r="158" ht="12.75">
      <c r="H158" s="3"/>
    </row>
    <row r="159" ht="12.75">
      <c r="H159" s="3"/>
    </row>
    <row r="160" ht="12.75">
      <c r="H160" s="3"/>
    </row>
    <row r="161" ht="12.75">
      <c r="H161" s="3"/>
    </row>
    <row r="162" ht="12.75">
      <c r="H162" s="3"/>
    </row>
    <row r="163" ht="12.75">
      <c r="H163" s="3"/>
    </row>
    <row r="164" ht="12.75">
      <c r="H164" s="3"/>
    </row>
    <row r="165" ht="12.75">
      <c r="H165" s="3"/>
    </row>
    <row r="166" spans="3:8" ht="12.75">
      <c r="C166" s="3"/>
      <c r="D166" s="3"/>
      <c r="E166" s="36"/>
      <c r="F166" s="3"/>
      <c r="G166" s="3"/>
      <c r="H166" s="3"/>
    </row>
    <row r="167" spans="3:8" ht="12.75">
      <c r="C167" s="3"/>
      <c r="D167" s="3"/>
      <c r="E167" s="36"/>
      <c r="F167" s="3"/>
      <c r="G167" s="3"/>
      <c r="H167" s="3"/>
    </row>
    <row r="204" ht="12.75">
      <c r="AC204"/>
    </row>
    <row r="205" ht="12.75">
      <c r="AC205"/>
    </row>
    <row r="206" ht="12.75">
      <c r="AC206"/>
    </row>
    <row r="207" ht="12.75">
      <c r="AC207"/>
    </row>
  </sheetData>
  <sheetProtection selectLockedCells="1"/>
  <hyperlinks>
    <hyperlink ref="D24" r:id="rId1" display="Click here for the on-line reg."/>
    <hyperlink ref="C81" r:id="rId2" display="Original DPW memo is here."/>
  </hyperlinks>
  <printOptions/>
  <pageMargins left="0.75" right="0.75" top="1" bottom="1" header="0.5" footer="0.5"/>
  <pageSetup horizontalDpi="300" verticalDpi="300" orientation="portrait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3">
      <selection activeCell="B3" sqref="B3"/>
    </sheetView>
  </sheetViews>
  <sheetFormatPr defaultColWidth="11.421875" defaultRowHeight="12.75"/>
  <cols>
    <col min="1" max="1" width="9.140625" style="132" customWidth="1"/>
    <col min="2" max="2" width="17.8515625" style="0" customWidth="1"/>
    <col min="3" max="3" width="11.8515625" style="0" customWidth="1"/>
    <col min="4" max="4" width="73.28125" style="0" customWidth="1"/>
    <col min="5" max="7" width="8.8515625" style="0" customWidth="1"/>
    <col min="8" max="8" width="20.421875" style="0" customWidth="1"/>
    <col min="9" max="10" width="8.8515625" style="0" customWidth="1"/>
    <col min="11" max="11" width="21.7109375" style="0" customWidth="1"/>
    <col min="12" max="16384" width="8.8515625" style="0" customWidth="1"/>
  </cols>
  <sheetData>
    <row r="1" spans="2:3" ht="12.75">
      <c r="B1" s="31" t="s">
        <v>34</v>
      </c>
      <c r="C1" s="31" t="s">
        <v>35</v>
      </c>
    </row>
    <row r="2" spans="2:3" ht="12.75">
      <c r="B2" s="31"/>
      <c r="C2" s="31" t="s">
        <v>71</v>
      </c>
    </row>
    <row r="3" spans="1:4" ht="12.75">
      <c r="A3" s="133" t="s">
        <v>171</v>
      </c>
      <c r="B3" s="140" t="s">
        <v>235</v>
      </c>
      <c r="D3" s="31"/>
    </row>
    <row r="4" spans="1:4" ht="12.75">
      <c r="A4" s="133"/>
      <c r="B4" s="131"/>
      <c r="D4" s="31"/>
    </row>
    <row r="5" spans="2:6" ht="12.75">
      <c r="B5" s="1" t="s">
        <v>3</v>
      </c>
      <c r="F5" s="1"/>
    </row>
    <row r="6" spans="1:4" ht="12.75">
      <c r="A6" s="139">
        <v>43374</v>
      </c>
      <c r="B6" t="s">
        <v>74</v>
      </c>
      <c r="C6" s="25">
        <v>594</v>
      </c>
      <c r="D6" s="26" t="s">
        <v>7</v>
      </c>
    </row>
    <row r="7" spans="1:4" ht="12.75">
      <c r="A7" s="134">
        <v>43374</v>
      </c>
      <c r="B7" t="s">
        <v>75</v>
      </c>
      <c r="C7" s="25">
        <v>308</v>
      </c>
      <c r="D7" s="26" t="s">
        <v>8</v>
      </c>
    </row>
    <row r="8" spans="1:4" ht="12.75">
      <c r="A8" s="134">
        <v>43374</v>
      </c>
      <c r="B8" t="s">
        <v>76</v>
      </c>
      <c r="C8" s="25">
        <v>58</v>
      </c>
      <c r="D8" s="26" t="s">
        <v>9</v>
      </c>
    </row>
    <row r="9" spans="1:4" ht="12.75">
      <c r="A9" s="134"/>
      <c r="B9" t="s">
        <v>82</v>
      </c>
      <c r="C9" s="25">
        <v>33</v>
      </c>
      <c r="D9" s="26" t="s">
        <v>10</v>
      </c>
    </row>
    <row r="10" spans="3:4" ht="12.75">
      <c r="C10" s="25">
        <v>0</v>
      </c>
      <c r="D10" s="27" t="s">
        <v>11</v>
      </c>
    </row>
    <row r="11" spans="2:3" ht="12.75">
      <c r="B11" s="4"/>
      <c r="C11" s="25"/>
    </row>
    <row r="12" spans="2:3" ht="12.75">
      <c r="B12" s="1" t="s">
        <v>147</v>
      </c>
      <c r="C12" s="25"/>
    </row>
    <row r="13" spans="3:4" ht="12.75">
      <c r="C13" s="98">
        <f>HH_Total</f>
        <v>0</v>
      </c>
      <c r="D13" t="s">
        <v>155</v>
      </c>
    </row>
    <row r="14" ht="12.75">
      <c r="C14" s="97"/>
    </row>
    <row r="15" spans="2:7" ht="12.75">
      <c r="B15" s="1" t="s">
        <v>178</v>
      </c>
      <c r="D15" t="s">
        <v>232</v>
      </c>
      <c r="E15" s="63"/>
      <c r="G15" t="s">
        <v>220</v>
      </c>
    </row>
    <row r="16" spans="1:3" ht="12.75">
      <c r="A16" s="134">
        <v>43374</v>
      </c>
      <c r="B16">
        <v>1</v>
      </c>
      <c r="C16">
        <v>1666</v>
      </c>
    </row>
    <row r="17" spans="1:3" ht="12.75">
      <c r="A17" s="134">
        <v>43374</v>
      </c>
      <c r="B17">
        <v>2</v>
      </c>
      <c r="C17">
        <v>2256</v>
      </c>
    </row>
    <row r="18" spans="1:3" ht="12.75">
      <c r="A18" s="134">
        <v>43374</v>
      </c>
      <c r="B18">
        <v>3</v>
      </c>
      <c r="C18">
        <v>2845</v>
      </c>
    </row>
    <row r="19" spans="1:3" ht="12.75">
      <c r="A19" s="134">
        <v>43374</v>
      </c>
      <c r="B19">
        <v>4</v>
      </c>
      <c r="C19">
        <v>3434</v>
      </c>
    </row>
    <row r="20" spans="1:3" ht="12.75">
      <c r="A20" s="134">
        <v>43374</v>
      </c>
      <c r="B20">
        <v>5</v>
      </c>
      <c r="C20">
        <v>4024</v>
      </c>
    </row>
    <row r="21" spans="1:3" ht="12.75">
      <c r="A21" s="134">
        <v>43374</v>
      </c>
      <c r="B21">
        <v>6</v>
      </c>
      <c r="C21">
        <v>4613</v>
      </c>
    </row>
    <row r="22" spans="1:3" ht="12.75">
      <c r="A22" s="134">
        <v>43374</v>
      </c>
      <c r="B22">
        <v>7</v>
      </c>
      <c r="C22">
        <v>5202</v>
      </c>
    </row>
    <row r="23" spans="1:3" ht="12.75">
      <c r="A23" s="134">
        <v>43374</v>
      </c>
      <c r="B23">
        <v>8</v>
      </c>
      <c r="C23">
        <v>5792</v>
      </c>
    </row>
    <row r="24" spans="1:3" ht="12.75">
      <c r="A24" s="134">
        <v>43374</v>
      </c>
      <c r="B24">
        <v>9</v>
      </c>
      <c r="C24">
        <v>6382</v>
      </c>
    </row>
    <row r="25" spans="1:3" ht="12.75">
      <c r="A25" s="134">
        <v>43374</v>
      </c>
      <c r="B25">
        <v>10</v>
      </c>
      <c r="C25">
        <v>6972</v>
      </c>
    </row>
    <row r="26" spans="1:4" ht="12.75">
      <c r="A26" s="134">
        <v>43374</v>
      </c>
      <c r="B26">
        <v>11</v>
      </c>
      <c r="C26">
        <v>590</v>
      </c>
      <c r="D26" t="s">
        <v>176</v>
      </c>
    </row>
    <row r="27" ht="12.75"/>
    <row r="28" spans="4:6" ht="12.75">
      <c r="D28" t="str">
        <f>CONCATENATE("How to calculate the Gross Income Limit for HH larger than ",Gross_Inc_CountMax)</f>
        <v>How to calculate the Gross Income Limit for HH larger than 10</v>
      </c>
      <c r="E28">
        <f>(Gross_Add_Dollar*(HH_Total-Gross_Inc_CountMax))+Gross_Inc_CountMaxDollar</f>
        <v>1072</v>
      </c>
      <c r="F28" t="s">
        <v>182</v>
      </c>
    </row>
    <row r="29" spans="3:6" ht="12.75">
      <c r="C29" s="72">
        <f>(HH_Total-MaxBen_MaxCount)</f>
        <v>-10</v>
      </c>
      <c r="D29" s="64" t="s">
        <v>151</v>
      </c>
      <c r="E29" s="3" t="e">
        <f>IF(HH_Total&lt;Gross_Add_Count,VLOOKUP(HH_Total,Gross_Income_Limit_Table,2,1),(Gross_Add_Dollar*(HH_Total-Gross_Inc_CountMax))+Gross_Inc_CountMaxDollar)</f>
        <v>#N/A</v>
      </c>
      <c r="F29" t="s">
        <v>183</v>
      </c>
    </row>
    <row r="30" spans="3:5" ht="12.75">
      <c r="C30" s="95">
        <f>Gross_Add_Dollar*(HH_Total-Gross_Inc_CountMax)</f>
        <v>-5900</v>
      </c>
      <c r="D30" s="64" t="s">
        <v>137</v>
      </c>
      <c r="E30" t="s">
        <v>214</v>
      </c>
    </row>
    <row r="31" spans="3:4" ht="12.75">
      <c r="C31" s="95">
        <f>Gross_Inc_CountMaxDollar</f>
        <v>6972</v>
      </c>
      <c r="D31" s="64" t="s">
        <v>138</v>
      </c>
    </row>
    <row r="32" spans="2:4" ht="12.75">
      <c r="B32" s="9" t="s">
        <v>205</v>
      </c>
      <c r="C32" s="58">
        <f>(Gross_Add_Dollar*(HH_Total-Gross_Inc_CountMax))+Gross_Inc_CountMaxDollar</f>
        <v>1072</v>
      </c>
      <c r="D32" s="64" t="s">
        <v>139</v>
      </c>
    </row>
    <row r="33" spans="3:4" ht="12.75">
      <c r="C33" s="58"/>
      <c r="D33" s="64" t="str">
        <f>IF(HH_EldCode=0,"This number is used because this household has no Elderly/Disabled members.","This number is not used because this HH does have Elderly/Disabled members.")</f>
        <v>This number is used because this household has no Elderly/Disabled members.</v>
      </c>
    </row>
    <row r="34" spans="3:4" ht="12.75">
      <c r="C34" s="95"/>
      <c r="D34" s="64"/>
    </row>
    <row r="35" spans="2:7" ht="12.75">
      <c r="B35" s="1" t="s">
        <v>177</v>
      </c>
      <c r="C35" s="95"/>
      <c r="D35" s="64"/>
      <c r="G35" t="s">
        <v>220</v>
      </c>
    </row>
    <row r="36" spans="1:3" ht="12.75">
      <c r="A36" s="134">
        <v>43374</v>
      </c>
      <c r="B36">
        <v>1</v>
      </c>
      <c r="C36">
        <v>2082</v>
      </c>
    </row>
    <row r="37" spans="1:3" ht="12.75">
      <c r="A37" s="134">
        <v>43374</v>
      </c>
      <c r="B37">
        <v>2</v>
      </c>
      <c r="C37">
        <v>2820</v>
      </c>
    </row>
    <row r="38" spans="1:3" ht="12.75">
      <c r="A38" s="134">
        <v>43374</v>
      </c>
      <c r="B38">
        <v>3</v>
      </c>
      <c r="C38">
        <v>3556</v>
      </c>
    </row>
    <row r="39" spans="1:3" ht="12.75">
      <c r="A39" s="134">
        <v>43374</v>
      </c>
      <c r="B39">
        <v>4</v>
      </c>
      <c r="C39">
        <v>4292</v>
      </c>
    </row>
    <row r="40" spans="1:3" ht="12.75">
      <c r="A40" s="134">
        <v>43374</v>
      </c>
      <c r="B40">
        <v>5</v>
      </c>
      <c r="C40">
        <v>5030</v>
      </c>
    </row>
    <row r="41" spans="1:3" ht="12.75">
      <c r="A41" s="134">
        <v>43374</v>
      </c>
      <c r="B41">
        <v>6</v>
      </c>
      <c r="C41">
        <v>5766</v>
      </c>
    </row>
    <row r="42" spans="1:3" ht="12.75">
      <c r="A42" s="134">
        <v>43374</v>
      </c>
      <c r="B42">
        <v>7</v>
      </c>
      <c r="C42">
        <v>6502</v>
      </c>
    </row>
    <row r="43" spans="1:3" ht="12.75">
      <c r="A43" s="134">
        <v>43374</v>
      </c>
      <c r="B43">
        <v>8</v>
      </c>
      <c r="C43">
        <v>7240</v>
      </c>
    </row>
    <row r="44" spans="1:3" ht="12.75">
      <c r="A44" s="134">
        <v>43374</v>
      </c>
      <c r="B44">
        <v>9</v>
      </c>
      <c r="C44">
        <v>7978</v>
      </c>
    </row>
    <row r="45" spans="1:3" ht="12.75">
      <c r="A45" s="134">
        <v>43374</v>
      </c>
      <c r="B45">
        <v>10</v>
      </c>
      <c r="C45">
        <v>8716</v>
      </c>
    </row>
    <row r="46" spans="1:4" ht="12.75">
      <c r="A46" s="134">
        <v>43374</v>
      </c>
      <c r="B46">
        <v>11</v>
      </c>
      <c r="C46">
        <v>738</v>
      </c>
      <c r="D46" t="s">
        <v>176</v>
      </c>
    </row>
    <row r="47" ht="12.75"/>
    <row r="48" ht="12.75">
      <c r="D48" t="str">
        <f>CONCATENATE("How to calculate the Gross Income Limit for Eld/Dis HH larger than ",Gross_Inc_CountMax,", though it works for less too.")</f>
        <v>How to calculate the Gross Income Limit for Eld/Dis HH larger than 10, though it works for less too.</v>
      </c>
    </row>
    <row r="49" spans="3:4" ht="12.75">
      <c r="C49" s="72">
        <f>(HH_Total-MaxBen_MaxCount)</f>
        <v>-10</v>
      </c>
      <c r="D49" s="64" t="s">
        <v>151</v>
      </c>
    </row>
    <row r="50" spans="3:4" ht="12.75">
      <c r="C50" s="95">
        <f>C46*(HH_Total-B45)</f>
        <v>-7380</v>
      </c>
      <c r="D50" s="64" t="s">
        <v>137</v>
      </c>
    </row>
    <row r="51" spans="3:4" ht="12.75">
      <c r="C51" s="95">
        <f>C45</f>
        <v>8716</v>
      </c>
      <c r="D51" s="64" t="s">
        <v>138</v>
      </c>
    </row>
    <row r="52" spans="2:4" ht="12.75">
      <c r="B52" s="9" t="s">
        <v>204</v>
      </c>
      <c r="C52" s="58">
        <f>(Gross_Add_DollarELD*(HH_Total-Gross_Inc_CountMaxELD))+Gross_Inc_CountMaxDollarELD</f>
        <v>1336</v>
      </c>
      <c r="D52" s="64" t="s">
        <v>139</v>
      </c>
    </row>
    <row r="53" ht="12.75">
      <c r="D53" s="64" t="str">
        <f>IF(HH_EldCode=0,"This number is not used because this HH has no Elderly/Disabled members.","This number is used because this household has Elderly/Disabled members.")</f>
        <v>This number is not used because this HH has no Elderly/Disabled members.</v>
      </c>
    </row>
    <row r="54" spans="1:4" ht="12.75">
      <c r="A54" s="134">
        <v>43374</v>
      </c>
      <c r="B54" s="1" t="s">
        <v>4</v>
      </c>
      <c r="D54" s="64" t="s">
        <v>233</v>
      </c>
    </row>
    <row r="55" spans="2:3" ht="12.75">
      <c r="B55">
        <v>1</v>
      </c>
      <c r="C55">
        <v>194</v>
      </c>
    </row>
    <row r="56" spans="2:3" ht="12.75">
      <c r="B56">
        <v>2</v>
      </c>
      <c r="C56">
        <v>355</v>
      </c>
    </row>
    <row r="57" spans="2:3" ht="12.75">
      <c r="B57">
        <v>3</v>
      </c>
      <c r="C57">
        <v>509</v>
      </c>
    </row>
    <row r="58" spans="2:3" ht="12.75">
      <c r="B58">
        <v>4</v>
      </c>
      <c r="C58">
        <v>646</v>
      </c>
    </row>
    <row r="59" spans="2:3" ht="12.75">
      <c r="B59">
        <v>5</v>
      </c>
      <c r="C59">
        <v>768</v>
      </c>
    </row>
    <row r="60" spans="2:5" ht="12.75">
      <c r="B60">
        <v>6</v>
      </c>
      <c r="C60">
        <v>921</v>
      </c>
      <c r="E60" t="e">
        <f>IF(HH_Total&lt;MaxBen_AddCount,VLOOKUP(HH_Total,Max_Benefit_Table,2,1),((MaxBen_AddCountDollar*(HH_Total-MaxBen_MaxCount))+MaxBen_MaxCountDollar))</f>
        <v>#N/A</v>
      </c>
    </row>
    <row r="61" spans="2:3" ht="12.75">
      <c r="B61">
        <v>7</v>
      </c>
      <c r="C61">
        <v>1018</v>
      </c>
    </row>
    <row r="62" spans="2:3" ht="12.75">
      <c r="B62">
        <v>8</v>
      </c>
      <c r="C62">
        <v>1164</v>
      </c>
    </row>
    <row r="63" spans="2:3" ht="12.75">
      <c r="B63">
        <v>9</v>
      </c>
      <c r="C63">
        <v>1310</v>
      </c>
    </row>
    <row r="64" spans="2:3" ht="12.75">
      <c r="B64">
        <v>10</v>
      </c>
      <c r="C64">
        <v>1456</v>
      </c>
    </row>
    <row r="65" spans="2:4" ht="12.75">
      <c r="B65">
        <v>11</v>
      </c>
      <c r="C65">
        <v>146</v>
      </c>
      <c r="D65" t="s">
        <v>149</v>
      </c>
    </row>
    <row r="66" ht="12.75"/>
    <row r="67" ht="12.75">
      <c r="D67" t="str">
        <f>CONCATENATE("How to calculate the Max benefit for HH larger than ",MaxBen_MaxCount)</f>
        <v>How to calculate the Max benefit for HH larger than 10</v>
      </c>
    </row>
    <row r="68" spans="3:4" ht="12.75">
      <c r="C68" s="72">
        <f>(HH_Total-MaxBen_MaxCount)</f>
        <v>-10</v>
      </c>
      <c r="D68" s="64" t="str">
        <f>IF(HH_Total&gt;MaxBen_MaxCount,CONCATENATE("For a HH of ",HH_Total," this is how many additional people we need to calculation for "),"HH is not big enough to do this calc properly...")</f>
        <v>HH is not big enough to do this calc properly...</v>
      </c>
    </row>
    <row r="69" spans="3:4" ht="12.75">
      <c r="C69" s="95">
        <f>MaxBen_AddCountDollar*(HH_Total-MaxBen_MaxCount)</f>
        <v>-1460</v>
      </c>
      <c r="D69" s="64" t="s">
        <v>137</v>
      </c>
    </row>
    <row r="70" spans="3:4" ht="12.75">
      <c r="C70" s="95">
        <f>MaxBen_MaxCountDollar</f>
        <v>1456</v>
      </c>
      <c r="D70" s="64" t="s">
        <v>138</v>
      </c>
    </row>
    <row r="71" spans="3:4" ht="12.75">
      <c r="C71" s="95">
        <f>(MaxBen_AddCountDollar*(HH_Total-MaxBen_MaxCount))+MaxBen_MaxCountDollar</f>
        <v>-4</v>
      </c>
      <c r="D71" s="64" t="s">
        <v>139</v>
      </c>
    </row>
    <row r="72" ht="12.75">
      <c r="D72" s="64" t="s">
        <v>206</v>
      </c>
    </row>
    <row r="73" ht="12.75"/>
    <row r="74" ht="12.75">
      <c r="B74" s="1" t="s">
        <v>5</v>
      </c>
    </row>
    <row r="75" ht="12.75">
      <c r="C75" s="7">
        <v>0.2</v>
      </c>
    </row>
    <row r="76" ht="12.75">
      <c r="C76" s="7"/>
    </row>
    <row r="77" ht="12.75"/>
    <row r="78" ht="12.75">
      <c r="B78" s="1" t="s">
        <v>6</v>
      </c>
    </row>
    <row r="79" ht="12.75">
      <c r="C79">
        <v>35</v>
      </c>
    </row>
    <row r="80" ht="12.75"/>
    <row r="81" ht="12.75"/>
    <row r="82" ht="12.75">
      <c r="B82" s="1" t="s">
        <v>29</v>
      </c>
    </row>
    <row r="83" spans="1:7" ht="12.75">
      <c r="A83" s="134">
        <v>43374</v>
      </c>
      <c r="B83">
        <v>1</v>
      </c>
      <c r="C83">
        <v>167</v>
      </c>
      <c r="G83" t="s">
        <v>219</v>
      </c>
    </row>
    <row r="84" spans="1:3" ht="12.75">
      <c r="A84" s="134">
        <v>43374</v>
      </c>
      <c r="B84">
        <v>2</v>
      </c>
      <c r="C84">
        <v>167</v>
      </c>
    </row>
    <row r="85" spans="1:3" ht="12.75">
      <c r="A85" s="134">
        <v>43374</v>
      </c>
      <c r="B85">
        <v>3</v>
      </c>
      <c r="C85">
        <v>167</v>
      </c>
    </row>
    <row r="86" spans="1:3" ht="12.75">
      <c r="A86" s="134">
        <v>43374</v>
      </c>
      <c r="B86">
        <v>4</v>
      </c>
      <c r="C86">
        <v>178</v>
      </c>
    </row>
    <row r="87" spans="1:3" ht="12.75">
      <c r="A87" s="134">
        <v>43374</v>
      </c>
      <c r="B87">
        <v>5</v>
      </c>
      <c r="C87">
        <v>209</v>
      </c>
    </row>
    <row r="88" spans="1:3" ht="12.75">
      <c r="A88" s="134">
        <v>43374</v>
      </c>
      <c r="B88">
        <v>6</v>
      </c>
      <c r="C88">
        <v>240</v>
      </c>
    </row>
    <row r="89" ht="12.75"/>
    <row r="90" ht="12.75">
      <c r="B90" s="1" t="s">
        <v>39</v>
      </c>
    </row>
    <row r="91" spans="3:4" ht="12.75">
      <c r="C91">
        <v>0</v>
      </c>
      <c r="D91" t="s">
        <v>221</v>
      </c>
    </row>
    <row r="92" spans="3:4" ht="12.75">
      <c r="C92">
        <v>0</v>
      </c>
      <c r="D92" t="s">
        <v>222</v>
      </c>
    </row>
    <row r="93" ht="12.75"/>
    <row r="94" ht="12.75"/>
    <row r="95" spans="1:2" ht="12.75">
      <c r="A95" s="134"/>
      <c r="B95" s="1" t="s">
        <v>211</v>
      </c>
    </row>
    <row r="96" spans="1:3" ht="12.75">
      <c r="A96" s="134">
        <v>43374</v>
      </c>
      <c r="B96">
        <v>1</v>
      </c>
      <c r="C96" s="49">
        <v>1041</v>
      </c>
    </row>
    <row r="97" spans="1:3" ht="12.75">
      <c r="A97" s="134">
        <v>43374</v>
      </c>
      <c r="B97">
        <v>2</v>
      </c>
      <c r="C97" s="49">
        <v>1410</v>
      </c>
    </row>
    <row r="98" spans="1:3" ht="12.75">
      <c r="A98" s="134">
        <v>43374</v>
      </c>
      <c r="B98">
        <v>3</v>
      </c>
      <c r="C98" s="49">
        <v>1778</v>
      </c>
    </row>
    <row r="99" spans="1:3" ht="12.75">
      <c r="A99" s="134">
        <v>43374</v>
      </c>
      <c r="B99">
        <v>4</v>
      </c>
      <c r="C99" s="49">
        <v>2146</v>
      </c>
    </row>
    <row r="100" spans="1:3" ht="12.75">
      <c r="A100" s="134">
        <v>43374</v>
      </c>
      <c r="B100">
        <v>5</v>
      </c>
      <c r="C100" s="49">
        <v>2515</v>
      </c>
    </row>
    <row r="101" spans="1:3" ht="12.75">
      <c r="A101" s="134">
        <v>43374</v>
      </c>
      <c r="B101">
        <v>6</v>
      </c>
      <c r="C101" s="49">
        <v>2883</v>
      </c>
    </row>
    <row r="102" spans="1:3" ht="12.75">
      <c r="A102" s="134">
        <v>43374</v>
      </c>
      <c r="B102">
        <v>7</v>
      </c>
      <c r="C102" s="50">
        <v>3251</v>
      </c>
    </row>
    <row r="103" spans="1:3" ht="12.75">
      <c r="A103" s="134">
        <v>43374</v>
      </c>
      <c r="B103">
        <v>8</v>
      </c>
      <c r="C103" s="49">
        <v>3620</v>
      </c>
    </row>
    <row r="104" spans="1:3" ht="12.75">
      <c r="A104" s="134">
        <v>43374</v>
      </c>
      <c r="B104">
        <v>9</v>
      </c>
      <c r="C104" s="49">
        <v>3989</v>
      </c>
    </row>
    <row r="105" spans="1:3" ht="12.75">
      <c r="A105" s="134">
        <v>43374</v>
      </c>
      <c r="B105">
        <v>10</v>
      </c>
      <c r="C105" s="49">
        <v>4358</v>
      </c>
    </row>
    <row r="106" spans="1:4" ht="12.75">
      <c r="A106" s="134">
        <v>43374</v>
      </c>
      <c r="B106">
        <v>11</v>
      </c>
      <c r="C106" s="49">
        <v>369</v>
      </c>
      <c r="D106" t="s">
        <v>149</v>
      </c>
    </row>
    <row r="107" spans="1:4" ht="12.75">
      <c r="A107" s="134"/>
      <c r="D107" s="1" t="s">
        <v>144</v>
      </c>
    </row>
    <row r="108" ht="12.75">
      <c r="D108" t="s">
        <v>61</v>
      </c>
    </row>
    <row r="109" ht="12.75">
      <c r="D109" s="2" t="s">
        <v>62</v>
      </c>
    </row>
    <row r="110" ht="12.75"/>
    <row r="111" ht="12.75">
      <c r="D111" t="str">
        <f>CONCATENATE("How to calculate the FPIG Net Income Limit for a HH larger than ",FPIG_Net_Inc_CountMax)</f>
        <v>How to calculate the FPIG Net Income Limit for a HH larger than 10</v>
      </c>
    </row>
    <row r="112" spans="3:4" ht="12.75">
      <c r="C112" s="72">
        <f>(HH_Total-FPIG_Net_Inc_CountMax)</f>
        <v>-10</v>
      </c>
      <c r="D112" s="64" t="str">
        <f>IF(HH_Total&gt;FPIG_Net_Inc_CountMax,"This is how many we need to calc for ","HH is not big enough to do this calc properly...")</f>
        <v>HH is not big enough to do this calc properly...</v>
      </c>
    </row>
    <row r="113" spans="3:4" ht="12.75">
      <c r="C113" s="72">
        <f>((HH_Total-FPIG_Net_Inc_CountMax)*FPIG_Net_Inc_CountAdditionalDollar)</f>
        <v>-3690</v>
      </c>
      <c r="D113" s="64" t="s">
        <v>137</v>
      </c>
    </row>
    <row r="114" spans="3:4" ht="12.75">
      <c r="C114" s="72">
        <f>FPIG_Net_Inc_CountMaxDollar</f>
        <v>4358</v>
      </c>
      <c r="D114" s="64" t="s">
        <v>138</v>
      </c>
    </row>
    <row r="115" spans="3:4" ht="12.75">
      <c r="C115" s="72">
        <f>(((HH_Total-FPIG_Net_Inc_CountMax)*FPIG_Net_Inc_CountAdditionalDollar)+FPIG_Net_Inc_CountMaxDollar)</f>
        <v>668</v>
      </c>
      <c r="D115" s="64" t="s">
        <v>139</v>
      </c>
    </row>
    <row r="116" spans="3:4" ht="12.75">
      <c r="C116" s="72"/>
      <c r="D116" s="64"/>
    </row>
    <row r="117" ht="12.75"/>
    <row r="118" spans="1:4" ht="12.75">
      <c r="A118" s="134">
        <v>43374</v>
      </c>
      <c r="B118" s="1" t="s">
        <v>73</v>
      </c>
      <c r="D118" s="64" t="s">
        <v>234</v>
      </c>
    </row>
    <row r="119" spans="3:4" ht="12.75">
      <c r="C119">
        <v>16</v>
      </c>
      <c r="D119" t="s">
        <v>145</v>
      </c>
    </row>
    <row r="120" ht="12.75"/>
    <row r="121" ht="12.75">
      <c r="B121" s="1" t="s">
        <v>12</v>
      </c>
    </row>
    <row r="122" spans="2:7" ht="12.75">
      <c r="B122" s="1"/>
      <c r="D122" t="s">
        <v>213</v>
      </c>
      <c r="G122" t="s">
        <v>218</v>
      </c>
    </row>
    <row r="123" spans="1:4" ht="12.75">
      <c r="A123" s="134">
        <v>43374</v>
      </c>
      <c r="C123">
        <v>569</v>
      </c>
      <c r="D123" t="s">
        <v>142</v>
      </c>
    </row>
    <row r="124" ht="12.75"/>
    <row r="125" spans="1:4" ht="12.75">
      <c r="A125" s="134">
        <v>41913</v>
      </c>
      <c r="B125" s="1" t="s">
        <v>13</v>
      </c>
      <c r="D125" s="64" t="s">
        <v>223</v>
      </c>
    </row>
    <row r="126" ht="12.75">
      <c r="D126" t="s">
        <v>212</v>
      </c>
    </row>
    <row r="127" spans="3:4" ht="12.75">
      <c r="C127">
        <v>152</v>
      </c>
      <c r="D127" t="s">
        <v>143</v>
      </c>
    </row>
    <row r="128" ht="12.75"/>
    <row r="129" ht="12.75">
      <c r="B129" s="1" t="s">
        <v>96</v>
      </c>
    </row>
    <row r="130" ht="12.75"/>
    <row r="131" ht="12.75"/>
    <row r="132" ht="12.75">
      <c r="B132" s="1" t="s">
        <v>148</v>
      </c>
    </row>
    <row r="133" spans="3:4" ht="12.75">
      <c r="C133" s="96">
        <f>HH_Status</f>
        <v>0</v>
      </c>
      <c r="D133" t="s">
        <v>156</v>
      </c>
    </row>
    <row r="134" ht="12.75"/>
    <row r="135" ht="12.75">
      <c r="B135" s="1" t="s">
        <v>86</v>
      </c>
    </row>
    <row r="136" spans="3:5" ht="12.75">
      <c r="C136" s="5">
        <v>0</v>
      </c>
      <c r="D136" t="s">
        <v>95</v>
      </c>
      <c r="E136" s="78" t="s">
        <v>108</v>
      </c>
    </row>
    <row r="137" spans="3:5" ht="12.75">
      <c r="C137" s="5">
        <v>1</v>
      </c>
      <c r="D137" t="s">
        <v>88</v>
      </c>
      <c r="E137" t="s">
        <v>87</v>
      </c>
    </row>
    <row r="138" spans="3:5" ht="12.75">
      <c r="C138" s="5">
        <v>2</v>
      </c>
      <c r="D138" t="s">
        <v>89</v>
      </c>
      <c r="E138" t="s">
        <v>87</v>
      </c>
    </row>
    <row r="139" spans="3:4" ht="12.75">
      <c r="C139" s="5">
        <v>3</v>
      </c>
      <c r="D139" t="s">
        <v>90</v>
      </c>
    </row>
    <row r="140" spans="3:5" ht="12.75">
      <c r="C140" s="5">
        <v>4</v>
      </c>
      <c r="D140" t="s">
        <v>94</v>
      </c>
      <c r="E140" t="s">
        <v>87</v>
      </c>
    </row>
    <row r="141" spans="3:4" ht="12.75">
      <c r="C141" s="5">
        <v>5</v>
      </c>
      <c r="D141" t="s">
        <v>92</v>
      </c>
    </row>
    <row r="142" spans="3:4" ht="12.75">
      <c r="C142" s="5">
        <v>6</v>
      </c>
      <c r="D142" t="s">
        <v>91</v>
      </c>
    </row>
    <row r="143" spans="3:4" ht="12.75">
      <c r="C143" s="5">
        <v>7</v>
      </c>
      <c r="D143" t="s">
        <v>93</v>
      </c>
    </row>
    <row r="144" ht="12.75"/>
    <row r="145" ht="12.75">
      <c r="B145" s="1" t="s">
        <v>97</v>
      </c>
    </row>
    <row r="146" spans="3:6" ht="12.75">
      <c r="C146" s="5">
        <v>0</v>
      </c>
      <c r="D146" t="str">
        <f>CONCATENATE("The Total Excess Shelter Deduction is capped at  $",XS_Shelter_Max)</f>
        <v>The Total Excess Shelter Deduction is capped at  $569</v>
      </c>
      <c r="E146" t="s">
        <v>95</v>
      </c>
      <c r="F146" s="78" t="s">
        <v>108</v>
      </c>
    </row>
    <row r="147" spans="3:6" ht="12.75">
      <c r="C147" s="5">
        <v>1</v>
      </c>
      <c r="D147" t="s">
        <v>109</v>
      </c>
      <c r="E147" t="s">
        <v>95</v>
      </c>
      <c r="F147" s="78" t="s">
        <v>108</v>
      </c>
    </row>
    <row r="148" spans="3:5" ht="12.75">
      <c r="C148" s="5">
        <v>2</v>
      </c>
      <c r="D148" t="str">
        <f>CONCATENATE("Because the HH is Homeless, the mimimum XS Shelter Deduction is  $",XS_Shelter_Homeless)</f>
        <v>Because the HH is Homeless, the mimimum XS Shelter Deduction is  $152</v>
      </c>
      <c r="E148" t="str">
        <f>CONCATENATE("The Total Excess Shelter Deduction is capped at  $",XS_Shelter_Max)</f>
        <v>The Total Excess Shelter Deduction is capped at  $569</v>
      </c>
    </row>
    <row r="149" spans="3:5" ht="12.75">
      <c r="C149" s="5">
        <v>3</v>
      </c>
      <c r="D149" t="s">
        <v>109</v>
      </c>
      <c r="E149" t="str">
        <f>CONCATENATE("Because the HH is Homeless, the mimimum Excess Shelter Deduction is  $",XS_Shelter_Homeless)</f>
        <v>Because the HH is Homeless, the mimimum Excess Shelter Deduction is  $152</v>
      </c>
    </row>
    <row r="150" spans="3:6" ht="12.75">
      <c r="C150" s="5">
        <v>4</v>
      </c>
      <c r="D150" t="str">
        <f>CONCATENATE("The Total Excess Shelter Deduction is capped at  $",XS_Shelter_Max)</f>
        <v>The Total Excess Shelter Deduction is capped at  $569</v>
      </c>
      <c r="E150" t="s">
        <v>95</v>
      </c>
      <c r="F150" s="78" t="s">
        <v>108</v>
      </c>
    </row>
    <row r="151" spans="3:6" ht="12.75">
      <c r="C151" s="5">
        <v>5</v>
      </c>
      <c r="D151" t="s">
        <v>109</v>
      </c>
      <c r="E151" t="s">
        <v>95</v>
      </c>
      <c r="F151" s="78" t="s">
        <v>108</v>
      </c>
    </row>
    <row r="152" spans="2:5" ht="12.75">
      <c r="B152" s="9"/>
      <c r="C152" s="5">
        <v>6</v>
      </c>
      <c r="D152" t="str">
        <f>CONCATENATE("Because the HH is Homeless, the minimum Excess Shelter Deduction is  $",XS_Shelter_Homeless)</f>
        <v>Because the HH is Homeless, the minimum Excess Shelter Deduction is  $152</v>
      </c>
      <c r="E152" t="str">
        <f>CONCATENATE("The Total Excess Shelter Deduction is capped at  $",XS_Shelter_Max)</f>
        <v>The Total Excess Shelter Deduction is capped at  $569</v>
      </c>
    </row>
    <row r="153" spans="3:5" ht="12.75">
      <c r="C153" s="5">
        <v>7</v>
      </c>
      <c r="D153" t="s">
        <v>110</v>
      </c>
      <c r="E153" t="str">
        <f>CONCATENATE("Because the HH is Homeless, the minimum Excess Shelter Deduction is  $",XS_Shelter_Homeless)</f>
        <v>Because the HH is Homeless, the minimum Excess Shelter Deduction is  $152</v>
      </c>
    </row>
    <row r="156" spans="2:3" ht="12.75">
      <c r="B156" s="1" t="s">
        <v>102</v>
      </c>
      <c r="C156" s="11"/>
    </row>
    <row r="157" spans="2:5" ht="15.75">
      <c r="B157" s="82"/>
      <c r="C157" s="5">
        <v>0</v>
      </c>
      <c r="D157" s="83" t="e">
        <f>MAX(0,MIN(XS_ShelterCosts_Adj,XS_Shelter_Max))</f>
        <v>#VALUE!</v>
      </c>
      <c r="E157" t="s">
        <v>107</v>
      </c>
    </row>
    <row r="158" spans="3:5" ht="12.75">
      <c r="C158" s="5">
        <v>1</v>
      </c>
      <c r="D158" s="83" t="e">
        <f>MAX(0,XS_ShelterCosts_Adj)</f>
        <v>#VALUE!</v>
      </c>
      <c r="E158" t="s">
        <v>105</v>
      </c>
    </row>
    <row r="159" spans="2:5" ht="15.75">
      <c r="B159" s="82"/>
      <c r="C159" s="5">
        <v>2</v>
      </c>
      <c r="D159" s="135">
        <f>XS_Shelter_Homeless</f>
        <v>152</v>
      </c>
      <c r="E159" t="s">
        <v>103</v>
      </c>
    </row>
    <row r="160" spans="2:5" ht="15.75">
      <c r="B160" s="82"/>
      <c r="C160" s="5">
        <v>3</v>
      </c>
      <c r="D160" s="135">
        <f>XS_Shelter_Homeless</f>
        <v>152</v>
      </c>
      <c r="E160" t="s">
        <v>106</v>
      </c>
    </row>
    <row r="161" spans="3:5" ht="12.75">
      <c r="C161" s="5">
        <v>4</v>
      </c>
      <c r="D161" s="83" t="e">
        <f>MAX(0,MIN(XS_ShelterCosts_Adj,XS_Shelter_Max))</f>
        <v>#VALUE!</v>
      </c>
      <c r="E161" t="s">
        <v>104</v>
      </c>
    </row>
    <row r="162" spans="2:5" ht="15.75">
      <c r="B162" s="82"/>
      <c r="C162" s="5">
        <v>5</v>
      </c>
      <c r="D162" s="83" t="e">
        <f>MAX(0,XS_ShelterCosts_Adj)</f>
        <v>#VALUE!</v>
      </c>
      <c r="E162" t="s">
        <v>105</v>
      </c>
    </row>
    <row r="163" spans="2:5" ht="15.75">
      <c r="B163" s="82"/>
      <c r="C163" s="5">
        <v>6</v>
      </c>
      <c r="D163" s="135">
        <f>XS_Shelter_Homeless</f>
        <v>152</v>
      </c>
      <c r="E163" t="s">
        <v>103</v>
      </c>
    </row>
    <row r="164" spans="3:5" ht="12.75">
      <c r="C164" s="5">
        <v>7</v>
      </c>
      <c r="D164" s="135">
        <f>XS_Shelter_Homeless</f>
        <v>152</v>
      </c>
      <c r="E164" t="s">
        <v>106</v>
      </c>
    </row>
    <row r="165" spans="2:4" ht="15.75">
      <c r="B165" s="82"/>
      <c r="C165" s="35"/>
      <c r="D165" s="85"/>
    </row>
    <row r="166" spans="2:3" ht="15.75">
      <c r="B166" s="82"/>
      <c r="C166" s="5"/>
    </row>
    <row r="167" spans="2:3" ht="15.75">
      <c r="B167" s="82"/>
      <c r="C167" s="5"/>
    </row>
    <row r="168" ht="12.75">
      <c r="C168" s="5"/>
    </row>
    <row r="169" ht="12.75">
      <c r="C169" s="5"/>
    </row>
    <row r="170" ht="12.75">
      <c r="C170" s="5"/>
    </row>
  </sheetData>
  <sheetProtection sheet="1" formatCells="0" formatColumns="0" formatRows="0" insertColumns="0" insertRows="0" insertHyperlinks="0" deleteColumns="0" deleteRows="0" selectLockedCells="1" sort="0"/>
  <conditionalFormatting sqref="C157:C164 C146:C153 C136:C143">
    <cfRule type="cellIs" priority="1" dxfId="0" operator="equal" stopIfTrue="1">
      <formula>$C$133</formula>
    </cfRule>
  </conditionalFormatting>
  <conditionalFormatting sqref="B55:B64 B83:B87 B96:B105 B16:B25 B36:B45">
    <cfRule type="cellIs" priority="2" dxfId="0" operator="equal" stopIfTrue="1">
      <formula>$C$13</formula>
    </cfRule>
  </conditionalFormatting>
  <conditionalFormatting sqref="B65 B88 B106 B26 B46">
    <cfRule type="cellIs" priority="3" dxfId="0" operator="lessThanOrEqual" stopIfTrue="1">
      <formula>$C$13</formula>
    </cfRule>
  </conditionalFormatting>
  <hyperlinks>
    <hyperlink ref="D109" r:id="rId1" display="http://www.fns.usda.gov/fsp/government/FY07_Income_Standards.htm"/>
  </hyperlinks>
  <printOptions/>
  <pageMargins left="0.75" right="0.75" top="1" bottom="1" header="0.5" footer="0.5"/>
  <pageSetup horizontalDpi="600" verticalDpi="600" orientation="portrait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7">
      <selection activeCell="B22" sqref="B22"/>
    </sheetView>
  </sheetViews>
  <sheetFormatPr defaultColWidth="11.421875" defaultRowHeight="12.75"/>
  <cols>
    <col min="1" max="1" width="11.7109375" style="0" customWidth="1"/>
    <col min="2" max="2" width="43.421875" style="0" customWidth="1"/>
    <col min="3" max="3" width="70.00390625" style="0" customWidth="1"/>
    <col min="4" max="16384" width="8.8515625" style="0" customWidth="1"/>
  </cols>
  <sheetData>
    <row r="1" ht="12.75">
      <c r="A1" t="s">
        <v>171</v>
      </c>
    </row>
    <row r="3" spans="1:2" ht="12.75">
      <c r="A3" s="121">
        <v>39864</v>
      </c>
      <c r="B3" t="s">
        <v>172</v>
      </c>
    </row>
    <row r="4" ht="12.75">
      <c r="B4" t="s">
        <v>173</v>
      </c>
    </row>
    <row r="5" ht="12.75">
      <c r="B5" t="s">
        <v>174</v>
      </c>
    </row>
    <row r="7" spans="1:2" ht="12.75">
      <c r="A7" s="121">
        <v>40021</v>
      </c>
      <c r="B7" t="s">
        <v>175</v>
      </c>
    </row>
    <row r="8" spans="1:2" ht="12.75">
      <c r="A8" s="121">
        <v>40021</v>
      </c>
      <c r="B8" t="s">
        <v>184</v>
      </c>
    </row>
    <row r="9" spans="1:2" ht="12.75">
      <c r="A9" s="121">
        <v>40023</v>
      </c>
      <c r="B9" t="s">
        <v>189</v>
      </c>
    </row>
    <row r="10" spans="1:2" ht="12.75">
      <c r="A10" s="121">
        <v>40025</v>
      </c>
      <c r="B10" t="s">
        <v>200</v>
      </c>
    </row>
    <row r="11" spans="1:2" ht="12.75">
      <c r="A11" s="121">
        <v>40025</v>
      </c>
      <c r="B11" t="s">
        <v>201</v>
      </c>
    </row>
    <row r="12" spans="1:2" ht="12.75">
      <c r="A12" s="121">
        <v>40025</v>
      </c>
      <c r="B12" t="s">
        <v>202</v>
      </c>
    </row>
    <row r="13" spans="1:2" ht="12.75">
      <c r="A13" s="121">
        <v>40064</v>
      </c>
      <c r="B13" t="s">
        <v>208</v>
      </c>
    </row>
    <row r="14" spans="1:2" ht="12.75">
      <c r="A14" s="121">
        <v>40085</v>
      </c>
      <c r="B14" t="s">
        <v>209</v>
      </c>
    </row>
    <row r="15" spans="1:2" ht="12.75">
      <c r="A15" s="121">
        <v>40085</v>
      </c>
      <c r="B15" t="s">
        <v>210</v>
      </c>
    </row>
    <row r="16" spans="1:2" ht="12.75">
      <c r="A16" s="121">
        <v>40808</v>
      </c>
      <c r="B16" t="s">
        <v>215</v>
      </c>
    </row>
    <row r="17" spans="1:2" ht="12.75">
      <c r="A17" s="121">
        <v>40808</v>
      </c>
      <c r="B17" t="s">
        <v>216</v>
      </c>
    </row>
    <row r="18" spans="1:2" ht="12.75">
      <c r="A18" s="121">
        <v>41178</v>
      </c>
      <c r="B18" t="s">
        <v>217</v>
      </c>
    </row>
    <row r="19" ht="12.75">
      <c r="A19" s="121"/>
    </row>
    <row r="20" ht="12.75">
      <c r="A20" s="121"/>
    </row>
    <row r="21" ht="12.75">
      <c r="A21" s="121">
        <v>41911</v>
      </c>
    </row>
    <row r="22" spans="1:2" ht="12.75">
      <c r="A22" s="121">
        <v>43735</v>
      </c>
      <c r="B22" t="s">
        <v>236</v>
      </c>
    </row>
    <row r="23" ht="12.75">
      <c r="A23" s="121"/>
    </row>
    <row r="24" ht="12.75">
      <c r="A24" s="121"/>
    </row>
    <row r="25" ht="12.75">
      <c r="A25" s="121"/>
    </row>
    <row r="26" ht="12.75">
      <c r="A26" s="121"/>
    </row>
    <row r="27" ht="12.75">
      <c r="A27" s="121"/>
    </row>
    <row r="28" ht="12.75">
      <c r="A28" s="121"/>
    </row>
    <row r="29" ht="12.75">
      <c r="A29" s="121"/>
    </row>
    <row r="30" ht="12.75">
      <c r="A30" s="121"/>
    </row>
    <row r="31" ht="12.75">
      <c r="A31" s="121"/>
    </row>
    <row r="32" ht="12.75">
      <c r="A32" s="121"/>
    </row>
    <row r="33" ht="12.75">
      <c r="A33" s="121"/>
    </row>
    <row r="34" ht="12.75">
      <c r="A34" s="121"/>
    </row>
    <row r="35" ht="12.75">
      <c r="A35" s="121"/>
    </row>
    <row r="36" ht="12.75">
      <c r="A36" s="121"/>
    </row>
    <row r="37" ht="12.75">
      <c r="A37" s="121"/>
    </row>
    <row r="38" ht="12.75">
      <c r="A38" s="121"/>
    </row>
    <row r="39" ht="12.75">
      <c r="A39" s="121"/>
    </row>
    <row r="40" ht="12.75">
      <c r="A40" s="121"/>
    </row>
    <row r="41" ht="12.75">
      <c r="A41" s="121"/>
    </row>
    <row r="42" ht="12.75">
      <c r="A42" s="121"/>
    </row>
    <row r="43" ht="12.75">
      <c r="A43" s="121"/>
    </row>
    <row r="44" ht="12.75">
      <c r="A44" s="121"/>
    </row>
    <row r="45" ht="12.75">
      <c r="A45" s="121"/>
    </row>
    <row r="46" ht="12.75">
      <c r="A46" s="121"/>
    </row>
    <row r="47" ht="12.75">
      <c r="A47" s="121"/>
    </row>
    <row r="48" ht="12.75">
      <c r="A48" s="121"/>
    </row>
    <row r="49" ht="12.75">
      <c r="A49" s="12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Community Legal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Stamp Calculator</dc:title>
  <dc:subject/>
  <dc:creator>Community Legal Services, Inc.</dc:creator>
  <cp:keywords/>
  <dc:description>August 2009</dc:description>
  <cp:lastModifiedBy>Microsoft Office User</cp:lastModifiedBy>
  <cp:lastPrinted>2016-08-03T14:33:20Z</cp:lastPrinted>
  <dcterms:created xsi:type="dcterms:W3CDTF">2006-10-19T13:19:06Z</dcterms:created>
  <dcterms:modified xsi:type="dcterms:W3CDTF">2020-04-29T19:34:06Z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