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lsphila-my.sharepoint.com/personal/lhayes_clsphila_org/Documents/SNAP/"/>
    </mc:Choice>
  </mc:AlternateContent>
  <xr:revisionPtr revIDLastSave="0" documentId="8_{A73CE09F-3E7E-43FA-9C50-23399E23BB4C}" xr6:coauthVersionLast="47" xr6:coauthVersionMax="47" xr10:uidLastSave="{00000000-0000-0000-0000-000000000000}"/>
  <workbookProtection lockStructure="1"/>
  <bookViews>
    <workbookView xWindow="-110" yWindow="-110" windowWidth="19420" windowHeight="10420" xr2:uid="{00000000-000D-0000-FFFF-FFFF00000000}"/>
  </bookViews>
  <sheets>
    <sheet name="FSCalculator" sheetId="7" r:id="rId1"/>
    <sheet name="Help" sheetId="5" r:id="rId2"/>
    <sheet name="Data" sheetId="6" r:id="rId3"/>
    <sheet name="Notes" sheetId="8" r:id="rId4"/>
  </sheets>
  <definedNames>
    <definedName name="_EditDate">Data!$B$3</definedName>
    <definedName name="BenefitCalc_Final">FSCalculator!$C$51</definedName>
    <definedName name="BenefitCalc_Initial">FSCalculator!$J$48</definedName>
    <definedName name="Calculated_Benefit">FSCalculator!$C$51</definedName>
    <definedName name="CashOnHand">FSCalculator!$C$15</definedName>
    <definedName name="DCA_OverTwoElderly">Data!$C$92</definedName>
    <definedName name="DCA_TwoAndUnder">Data!$C$91</definedName>
    <definedName name="EarnedIncomeDisregard">FSCalculator!$C$17</definedName>
    <definedName name="FPIG_Net_Inc_CountAdditional">Data!$B$106</definedName>
    <definedName name="FPIG_Net_Inc_CountAdditionalDollar">Data!$C$106</definedName>
    <definedName name="FPIG_Net_Inc_CountMax">Data!$B$105</definedName>
    <definedName name="FPIG_Net_Inc_CountMaxDollar">Data!$C$105</definedName>
    <definedName name="FPIG_Net_Inc_Limit_Table">Data!$B$96:$C$105</definedName>
    <definedName name="GrIncLimCalc">Data!$C$32</definedName>
    <definedName name="GrIncLimCalcELD">Data!$C$52</definedName>
    <definedName name="Gross_Add_Count">Data!$B$26</definedName>
    <definedName name="Gross_Add_Dollar">Data!#REF!</definedName>
    <definedName name="Gross_Add_DollarELD">Data!$C$26</definedName>
    <definedName name="Gross_Inc_CountMax">Data!$B$25</definedName>
    <definedName name="Gross_Inc_CountMaxDollar">Data!#REF!</definedName>
    <definedName name="Gross_Inc_CountMaxDollarELD">Data!$C$25</definedName>
    <definedName name="Gross_Inc_CountMaxELD">Data!$B$45</definedName>
    <definedName name="Gross_Inc_HH">FSCalculator!$C$20</definedName>
    <definedName name="Gross_Inc_Limit">FSCalculator!$J$16</definedName>
    <definedName name="Gross_Income_Limit_Table">Data!$B$16:$C$25</definedName>
    <definedName name="Help_Calc_XS_Shelter">Help!$A$105</definedName>
    <definedName name="Help_Def_Monthly_Gross_Earned_Income">Help!$A$35</definedName>
    <definedName name="Help_Def_of_Child">Help!#REF!</definedName>
    <definedName name="Help_Def_of_Disabled">Help!$B$22</definedName>
    <definedName name="Help_Def_of_Elderly">Help!$B$19</definedName>
    <definedName name="Help_Def_of_HH">Help!$B$8</definedName>
    <definedName name="Help_Def_of_Homeless">Help!$B$26</definedName>
    <definedName name="Help_MaxBenefit_and_StdDisregard_Table">Help!$A$63</definedName>
    <definedName name="Help_Medical_Expenses">Help!$A$87</definedName>
    <definedName name="Help_Other_Types_of_Income">Help!$A$40</definedName>
    <definedName name="Help_SUA">Help!$A$94</definedName>
    <definedName name="Help_Tips_on_Child_Support">Help!#REF!</definedName>
    <definedName name="HH_AnyAbove">#REF!</definedName>
    <definedName name="HH_CatElig">FSCalculator!$J$14</definedName>
    <definedName name="HH_EldCode">FSCalculator!$J$10</definedName>
    <definedName name="HH_ElderlyDisabled">FSCalculator!$C$10</definedName>
    <definedName name="HH_EveryMemberIS">FSCalculator!$C$12</definedName>
    <definedName name="HH_EveryMemberISCode">FSCalculator!$J$12</definedName>
    <definedName name="HH_Homeless">FSCalculator!$C$11</definedName>
    <definedName name="HH_HomelessCode">FSCalculator!$J$11</definedName>
    <definedName name="HH_IncomeElig">FSCalculator!#REF!</definedName>
    <definedName name="HH_Status">FSCalculator!$J$13</definedName>
    <definedName name="HH_StatusTable">Data!$C$136:$D$143</definedName>
    <definedName name="HH_Total">FSCalculator!$C$9</definedName>
    <definedName name="Max_Benefit_Additional">Data!#REF!</definedName>
    <definedName name="Max_Benefit_AdditionalCount">Data!#REF!</definedName>
    <definedName name="Max_Benefit_Table">Data!$B$55:$C$64</definedName>
    <definedName name="MaxBen_AddCount">Data!$B$65</definedName>
    <definedName name="MaxBen_AddCountDollar">Data!$C$65</definedName>
    <definedName name="MaxBen_MaxCount">Data!$B$64</definedName>
    <definedName name="MaxBen_MaxCountDollar">Data!$C$64</definedName>
    <definedName name="Min_Benefit">Data!$C$119</definedName>
    <definedName name="MinBenCalc">FSCalculator!$J$50</definedName>
    <definedName name="MinBenTest_Part1">FSCalculator!$J$52</definedName>
    <definedName name="MinBenTest_Part2">FSCalculator!$J$53</definedName>
    <definedName name="Monthly_Adj_Medical_Exp">FSCalculator!$C$28</definedName>
    <definedName name="Monthly_All_Income">FSCalculator!$C$21</definedName>
    <definedName name="Monthly_CourtChildSupport">FSCalculator!$C$26</definedName>
    <definedName name="Monthly_DepCare_Deduction">FSCalculator!$C$24</definedName>
    <definedName name="Monthly_MedicalExpenses">FSCalculator!$C$27</definedName>
    <definedName name="Monthly_SD_for_HH">FSCalculator!$C$23</definedName>
    <definedName name="Monthly_UI_Total">FSCalculator!$C$19</definedName>
    <definedName name="MonthlyDisregardPercentage">Data!$C$75</definedName>
    <definedName name="MonthlyGrossEarnedIncome">FSCalculator!$C$16</definedName>
    <definedName name="MonthlyMedicalAllowance">Data!$C$79</definedName>
    <definedName name="MonthlyNetEarnedIncome">FSCalculator!$C$18</definedName>
    <definedName name="Net_Inc_Limit_forthis_HH">FSCalculator!#REF!</definedName>
    <definedName name="NN_Net_Income_Limit">FSCalculator!$J$57</definedName>
    <definedName name="Other_Types_of_Income">Help!$A$40</definedName>
    <definedName name="_xlnm.Print_Area" localSheetId="0">FSCalculator!$B$1:$C$53</definedName>
    <definedName name="Print_CalcOutput">FSCalculator!$B$2:$C$52</definedName>
    <definedName name="ProceedStop">FSCalculator!$D$22</definedName>
    <definedName name="SD_Table">Data!$B$83:$C$88</definedName>
    <definedName name="SUA">FSCalculator!$C$37</definedName>
    <definedName name="SUA_Heat">Data!$C$6</definedName>
    <definedName name="SUA_Ltd">Data!$C$8</definedName>
    <definedName name="SUA_None">Data!$C$10</definedName>
    <definedName name="SUA_NonHeat">Data!$C$7</definedName>
    <definedName name="SUA_Pay1Util">FSCalculator!$C$35</definedName>
    <definedName name="SUA_Pay2Util">FSCalculator!$C$34</definedName>
    <definedName name="SUA_PayHeat">FSCalculator!$C$33</definedName>
    <definedName name="SUA_PayPhoneOnly">FSCalculator!$C$36</definedName>
    <definedName name="SUA_Tel">Data!$C$9</definedName>
    <definedName name="SUATable">Data!$B$6:$D$10</definedName>
    <definedName name="Top">FSCalculator!$C$8</definedName>
    <definedName name="Total_Adj_Income_HALF_OF">FSCalculator!$C$42</definedName>
    <definedName name="Total_Adjusted_Income">FSCalculator!$C$29</definedName>
    <definedName name="Total_MaxMonthly_HHBenefit">FSCalculator!$C$49</definedName>
    <definedName name="Total_Net_Income">FSCalculator!$C$48</definedName>
    <definedName name="Total_ThirdofTotalNetIncome">FSCalculator!$C$50</definedName>
    <definedName name="Total_Unadj_ShelterCosts">FSCalculator!$C$41</definedName>
    <definedName name="Total_XS_Shelter_Deduction">FSCalculator!$C$44</definedName>
    <definedName name="XS_MonthlyFire">FSCalculator!$C$39</definedName>
    <definedName name="XS_MonthlyPropertyTax">FSCalculator!$C$40</definedName>
    <definedName name="XS_MonthlyRentMortg">FSCalculator!$C$38</definedName>
    <definedName name="XS_Shelter_Homeless">Data!$C$127</definedName>
    <definedName name="XS_Shelter_Max">Data!$C$123</definedName>
    <definedName name="XS_ShelterCosts_Adj">FSCalculator!$C$43</definedName>
    <definedName name="XS_ShelterDedTable">Data!$C$157:$D$164</definedName>
    <definedName name="XS_ShelterTable">Data!$C$146:$E$153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7" l="1"/>
  <c r="C49" i="7"/>
  <c r="C23" i="7"/>
  <c r="J26" i="7"/>
  <c r="J25" i="7"/>
  <c r="D164" i="6"/>
  <c r="D163" i="6"/>
  <c r="D160" i="6"/>
  <c r="D159" i="6"/>
  <c r="J11" i="7"/>
  <c r="C37" i="7"/>
  <c r="C41" i="7"/>
  <c r="J27" i="7"/>
  <c r="D38" i="7"/>
  <c r="J10" i="7"/>
  <c r="D27" i="7"/>
  <c r="C30" i="7"/>
  <c r="C32" i="6"/>
  <c r="C17" i="7"/>
  <c r="C18" i="7"/>
  <c r="C21" i="7"/>
  <c r="C29" i="7"/>
  <c r="C28" i="7"/>
  <c r="J12" i="7"/>
  <c r="B49" i="7"/>
  <c r="C20" i="7"/>
  <c r="C132" i="5"/>
  <c r="D28" i="6"/>
  <c r="C30" i="6"/>
  <c r="B23" i="7"/>
  <c r="D68" i="6"/>
  <c r="B28" i="7"/>
  <c r="D36" i="7"/>
  <c r="D35" i="7"/>
  <c r="D34" i="7"/>
  <c r="D33" i="7"/>
  <c r="B37" i="7"/>
  <c r="E29" i="6"/>
  <c r="J16" i="7"/>
  <c r="E28" i="6"/>
  <c r="E60" i="6"/>
  <c r="C115" i="6"/>
  <c r="C13" i="6"/>
  <c r="C31" i="6"/>
  <c r="D112" i="6"/>
  <c r="D111" i="6"/>
  <c r="D67" i="6"/>
  <c r="C29" i="6"/>
  <c r="C71" i="6"/>
  <c r="C70" i="6"/>
  <c r="C69" i="6"/>
  <c r="C68" i="6"/>
  <c r="C112" i="6"/>
  <c r="D37" i="7"/>
  <c r="C114" i="6"/>
  <c r="C113" i="6"/>
  <c r="C123" i="5"/>
  <c r="C117" i="5"/>
  <c r="C108" i="5"/>
  <c r="C112" i="5"/>
  <c r="C111" i="5"/>
  <c r="E153" i="6"/>
  <c r="D152" i="6"/>
  <c r="E149" i="6"/>
  <c r="E148" i="6"/>
  <c r="E152" i="6"/>
  <c r="D148" i="6"/>
  <c r="D150" i="6"/>
  <c r="D146" i="6"/>
  <c r="D11" i="7"/>
  <c r="D12" i="7"/>
  <c r="D10" i="7"/>
  <c r="D17" i="7"/>
  <c r="C103" i="5"/>
  <c r="C102" i="5"/>
  <c r="C101" i="5"/>
  <c r="C100" i="5"/>
  <c r="E76" i="5"/>
  <c r="E75" i="5"/>
  <c r="E74" i="5"/>
  <c r="E73" i="5"/>
  <c r="E72" i="5"/>
  <c r="E67" i="5"/>
  <c r="E68" i="5"/>
  <c r="E69" i="5"/>
  <c r="E70" i="5"/>
  <c r="E71" i="5"/>
  <c r="E66" i="5"/>
  <c r="D76" i="5"/>
  <c r="D75" i="5"/>
  <c r="D74" i="5"/>
  <c r="D61" i="5"/>
  <c r="D60" i="5"/>
  <c r="D59" i="5"/>
  <c r="D58" i="5"/>
  <c r="D57" i="5"/>
  <c r="D56" i="5"/>
  <c r="D55" i="5"/>
  <c r="D54" i="5"/>
  <c r="D53" i="5"/>
  <c r="D52" i="5"/>
  <c r="D51" i="5"/>
  <c r="D73" i="5"/>
  <c r="D72" i="5"/>
  <c r="D68" i="5"/>
  <c r="D69" i="5"/>
  <c r="D70" i="5"/>
  <c r="D71" i="5"/>
  <c r="D67" i="5"/>
  <c r="D66" i="5"/>
  <c r="C45" i="7"/>
  <c r="C46" i="7"/>
  <c r="D33" i="6"/>
  <c r="J23" i="7"/>
  <c r="J13" i="7"/>
  <c r="C133" i="6"/>
  <c r="J14" i="7"/>
  <c r="J21" i="7"/>
  <c r="J28" i="7"/>
  <c r="K28" i="7"/>
  <c r="B52" i="7"/>
  <c r="C42" i="7"/>
  <c r="C43" i="7"/>
  <c r="J20" i="7"/>
  <c r="D20" i="7"/>
  <c r="B22" i="7"/>
  <c r="C22" i="7"/>
  <c r="J22" i="7"/>
  <c r="D22" i="7"/>
  <c r="D43" i="7"/>
  <c r="D161" i="6"/>
  <c r="D157" i="6"/>
  <c r="C44" i="7"/>
  <c r="D162" i="6"/>
  <c r="D44" i="7"/>
  <c r="D158" i="6"/>
  <c r="D47" i="7"/>
  <c r="C48" i="7"/>
  <c r="C50" i="7"/>
  <c r="D48" i="7"/>
  <c r="J48" i="7"/>
  <c r="J49" i="7"/>
  <c r="C51" i="7"/>
  <c r="D5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mbowen</author>
  </authors>
  <commentList>
    <comment ref="C47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mbowen:</t>
        </r>
        <r>
          <rPr>
            <sz val="8"/>
            <color indexed="81"/>
            <rFont val="Tahoma"/>
            <family val="2"/>
          </rPr>
          <t xml:space="preserve">
Is this still true July 2009?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mbowen</author>
  </authors>
  <commentList>
    <comment ref="B15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There is another version of this spreadsheet for folks who are NOT "categorically eligible" for food stamp benefits.  That sheet uses the 130% FPIG numbers versus this one which uses the 160% number as most folks ARE categorically eligible.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5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There is another version of this spreadsheet for folks who are NOT "categorically eligible" for food stamp benefits.  That sheet uses the 130% FPIG numbers versus this one which uses the 160% number as most folks ARE categorically eligible.</t>
        </r>
      </text>
    </comment>
    <comment ref="C145" authorId="0" shapeId="0" xr:uid="{00000000-0006-0000-0200-000003000000}">
      <text>
        <r>
          <rPr>
            <sz val="8"/>
            <color indexed="81"/>
            <rFont val="Tahoma"/>
            <family val="2"/>
          </rPr>
          <t>These are the same HH_Status codes
as above.  If the HH_Status is X, then this statement applies to the XS Shelter Deduction.</t>
        </r>
      </text>
    </comment>
  </commentList>
</comments>
</file>

<file path=xl/sharedStrings.xml><?xml version="1.0" encoding="utf-8"?>
<sst xmlns="http://schemas.openxmlformats.org/spreadsheetml/2006/main" count="267" uniqueCount="233">
  <si>
    <t>Community Legal Services PA Food Stamp Estimator Worksheet</t>
  </si>
  <si>
    <t>KEY</t>
  </si>
  <si>
    <t>Enter Your Data</t>
  </si>
  <si>
    <t>Calculated Data</t>
  </si>
  <si>
    <t>www.clsphila.org</t>
  </si>
  <si>
    <t>Based on Chart</t>
  </si>
  <si>
    <t xml:space="preserve">1.  HOUSEHOLD INFORMATION </t>
  </si>
  <si>
    <r>
      <t xml:space="preserve">  1.1  Total Number of </t>
    </r>
    <r>
      <rPr>
        <b/>
        <sz val="10"/>
        <rFont val="Times New Roman"/>
        <family val="1"/>
      </rPr>
      <t>Persons</t>
    </r>
    <r>
      <rPr>
        <sz val="10"/>
        <rFont val="Times New Roman"/>
        <family val="1"/>
      </rPr>
      <t xml:space="preserve"> in the Household     (See 'Help' tab sheet for Definitions)</t>
    </r>
  </si>
  <si>
    <r>
      <t xml:space="preserve">  1.4  Is there at least one </t>
    </r>
    <r>
      <rPr>
        <b/>
        <sz val="10"/>
        <rFont val="Times New Roman"/>
        <family val="1"/>
      </rPr>
      <t>Elderly</t>
    </r>
    <r>
      <rPr>
        <sz val="10"/>
        <rFont val="Times New Roman"/>
        <family val="1"/>
      </rPr>
      <t xml:space="preserve"> (60 or over) OR </t>
    </r>
    <r>
      <rPr>
        <b/>
        <sz val="10"/>
        <rFont val="Times New Roman"/>
        <family val="1"/>
      </rPr>
      <t>Disabled</t>
    </r>
    <r>
      <rPr>
        <sz val="10"/>
        <rFont val="Times New Roman"/>
        <family val="1"/>
      </rPr>
      <t xml:space="preserve"> person in the Household?</t>
    </r>
  </si>
  <si>
    <t>HH_EldCode, 1=y, 0=n</t>
  </si>
  <si>
    <r>
      <t xml:space="preserve">  1.6  Is the Household </t>
    </r>
    <r>
      <rPr>
        <b/>
        <sz val="10"/>
        <rFont val="Times New Roman"/>
        <family val="1"/>
      </rPr>
      <t>Homeless</t>
    </r>
    <r>
      <rPr>
        <sz val="10"/>
        <rFont val="Times New Roman"/>
        <family val="1"/>
      </rPr>
      <t xml:space="preserve">?  </t>
    </r>
  </si>
  <si>
    <t>HH_HomlessCode, 2=y, 0=n</t>
  </si>
  <si>
    <r>
      <t xml:space="preserve">  1.7  Is </t>
    </r>
    <r>
      <rPr>
        <b/>
        <sz val="10"/>
        <rFont val="Times New Roman"/>
        <family val="1"/>
      </rPr>
      <t>every</t>
    </r>
    <r>
      <rPr>
        <sz val="10"/>
        <rFont val="Times New Roman"/>
        <family val="1"/>
      </rPr>
      <t xml:space="preserve"> member of the household receiving </t>
    </r>
    <r>
      <rPr>
        <b/>
        <sz val="10"/>
        <rFont val="Times New Roman"/>
        <family val="1"/>
      </rPr>
      <t>TANF, GA or SSI</t>
    </r>
    <r>
      <rPr>
        <sz val="10"/>
        <rFont val="Times New Roman"/>
        <family val="1"/>
      </rPr>
      <t>?</t>
    </r>
  </si>
  <si>
    <t>HH_EveryMemberISCode, 4=y, 0=n</t>
  </si>
  <si>
    <t>HH_Status.  See the table on Data sheet for what this means.</t>
  </si>
  <si>
    <t>HH_StatusTable</t>
  </si>
  <si>
    <t>2. INCOME INFORMATION</t>
  </si>
  <si>
    <t>Household is Categorically Eligible 1=true, 0=false</t>
  </si>
  <si>
    <t xml:space="preserve">  2.0  Liquid resources (i.e., cash on hand plus bank balances)</t>
  </si>
  <si>
    <t>Gross Income for this HH (Used for Eligibility, not to calc the Benefit)</t>
  </si>
  <si>
    <r>
      <t xml:space="preserve">  2.1  Monthly </t>
    </r>
    <r>
      <rPr>
        <b/>
        <sz val="10"/>
        <rFont val="Times New Roman"/>
        <family val="1"/>
      </rPr>
      <t>Gross Earned Income (GEI)</t>
    </r>
    <r>
      <rPr>
        <sz val="10"/>
        <rFont val="Times New Roman"/>
        <family val="1"/>
      </rPr>
      <t xml:space="preserve"> before taxes (from any kind of job).  </t>
    </r>
  </si>
  <si>
    <t>Gross Income Limit for a HH of this size/type</t>
  </si>
  <si>
    <t xml:space="preserve">  2.2  Compute Monthly Earned Income Disregard (EID) (percentage is displayed)</t>
  </si>
  <si>
    <t xml:space="preserve">The Gross Inc Limit is calculated twice based on HH size on the Data sheet.  </t>
  </si>
  <si>
    <t xml:space="preserve">  2.3      (2.1  minus  2.2)  =</t>
  </si>
  <si>
    <t>Depending on if the HH is Eld/Dis, the appropriate number is returned and used as the GIL here.</t>
  </si>
  <si>
    <r>
      <t xml:space="preserve">  2.4  Enter the total amount of all</t>
    </r>
    <r>
      <rPr>
        <b/>
        <sz val="10"/>
        <rFont val="Times New Roman"/>
        <family val="1"/>
      </rPr>
      <t xml:space="preserve"> Unearned Income</t>
    </r>
    <r>
      <rPr>
        <sz val="10"/>
        <rFont val="Times New Roman"/>
        <family val="1"/>
      </rPr>
      <t xml:space="preserve"> received per month (TANF, SSI, child support, pension, SS, worker’s compensation, etc).</t>
    </r>
  </si>
  <si>
    <t xml:space="preserve">  2.5  Total Gross Household Income</t>
  </si>
  <si>
    <r>
      <t xml:space="preserve">(2.3  minus  2.4)            </t>
    </r>
    <r>
      <rPr>
        <b/>
        <sz val="10"/>
        <rFont val="Times New Roman"/>
        <family val="1"/>
      </rPr>
      <t>TOTAL UNADJUSTED INCOME</t>
    </r>
  </si>
  <si>
    <t xml:space="preserve">  2.7  Enter the monthly Dependent Care Costs. </t>
  </si>
  <si>
    <t xml:space="preserve">         Note:  These are the costs to care for dependents to enable a household member to 1) Work, 2) Look for work or 3) Attend job training.  Also, the CCIS co-pay may be deducted as a DC cost.</t>
  </si>
  <si>
    <t>Total cash on hand is less than $100</t>
  </si>
  <si>
    <t>If THIS and</t>
  </si>
  <si>
    <t xml:space="preserve">  2.8  Court ordered child support paid per month.</t>
  </si>
  <si>
    <t>Gross monthly income is less than $150</t>
  </si>
  <si>
    <t>THIS are true, then Expedited.</t>
  </si>
  <si>
    <t xml:space="preserve">  2.9  Monthly (unreimbursed) medical expenses for all Elderly and Disabled household members.  </t>
  </si>
  <si>
    <t>OR, if THIS is true, then Expedited.</t>
  </si>
  <si>
    <t>So if this is 2 or greater, then Expedited.</t>
  </si>
  <si>
    <t>TOTAL ADJUSTED INCOME</t>
  </si>
  <si>
    <t>3. EXCESS SHELTER COSTS</t>
  </si>
  <si>
    <t xml:space="preserve">  3.1  Utility Expenses </t>
  </si>
  <si>
    <t>Does Client pay any portion of  Heat or Cooling expenses?</t>
  </si>
  <si>
    <t>Does Client pay 2 utilities (may include phone), but NOT Heat or Cooling?</t>
  </si>
  <si>
    <t>Does Client pay 1 utility (not the phone), but NOT Heat or Cooling?</t>
  </si>
  <si>
    <t>Does Client pay only the phone?</t>
  </si>
  <si>
    <t xml:space="preserve">  3.2  Household's monthly rent/mortgage  (if any)                                                                                                                   </t>
  </si>
  <si>
    <t xml:space="preserve">  3.3  Monthly fire insurance  (if not included in rent/mortgage payment)</t>
  </si>
  <si>
    <t xml:space="preserve">  3.4  Property tax paid  (if not included in rent/mortgage payment)</t>
  </si>
  <si>
    <t xml:space="preserve">  3.5  Unadjusted Shelter Costs   (3.1  +  3.2  +  3.3  +  3.4)  =  </t>
  </si>
  <si>
    <t xml:space="preserve">  3.6  Total Adjusted Income (from Sect. 2) * 1/2 =</t>
  </si>
  <si>
    <t xml:space="preserve">  3.7  Unadjusted Shelter Costs minus Half of Total Adjusted Income (3.5 - 3.6)</t>
  </si>
  <si>
    <t>TOTAL EXCESS SHELTER DEDUCTION</t>
  </si>
  <si>
    <t>4.  BENEFIT CALCULATION</t>
  </si>
  <si>
    <t xml:space="preserve">  4.1  Total Net Income  (Total Adjusted Income - Total Excess Shelter Deduction)</t>
  </si>
  <si>
    <t>Initial Ben Calc</t>
  </si>
  <si>
    <t>Final Ben (after Min test)</t>
  </si>
  <si>
    <t xml:space="preserve">  4.3  30% of Total Net Income    (4.1 * .3)</t>
  </si>
  <si>
    <r>
      <t xml:space="preserve">    (4.2 minus 4.3)            </t>
    </r>
    <r>
      <rPr>
        <b/>
        <sz val="10"/>
        <rFont val="Times New Roman"/>
        <family val="1"/>
      </rPr>
      <t>ESTIMATED MONTHLY BENEFIT</t>
    </r>
  </si>
  <si>
    <t xml:space="preserve">Based on data that was current as of </t>
  </si>
  <si>
    <t>Note:</t>
  </si>
  <si>
    <t>The data on this sheet is informational only and may change without notice.</t>
  </si>
  <si>
    <t>Section 1. HOUSEHOLD Information</t>
  </si>
  <si>
    <t>Definitions</t>
  </si>
  <si>
    <t>"Household"</t>
  </si>
  <si>
    <r>
      <t xml:space="preserve">A group of people who </t>
    </r>
    <r>
      <rPr>
        <u/>
        <sz val="12"/>
        <rFont val="Times New Roman"/>
        <family val="1"/>
      </rPr>
      <t>live together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and</t>
    </r>
    <r>
      <rPr>
        <sz val="12"/>
        <rFont val="Times New Roman"/>
        <family val="1"/>
      </rPr>
      <t xml:space="preserve"> </t>
    </r>
    <r>
      <rPr>
        <u/>
        <sz val="12"/>
        <rFont val="Times New Roman"/>
        <family val="1"/>
      </rPr>
      <t>who purchase and prepare meals</t>
    </r>
    <r>
      <rPr>
        <sz val="12"/>
        <rFont val="Times New Roman"/>
        <family val="1"/>
      </rPr>
      <t xml:space="preserve"> together, with some exceptions:  </t>
    </r>
  </si>
  <si>
    <r>
      <t xml:space="preserve">1.  Children under age 22 who live with their parents </t>
    </r>
    <r>
      <rPr>
        <b/>
        <sz val="10"/>
        <rFont val="Arial"/>
        <family val="2"/>
      </rPr>
      <t>must</t>
    </r>
    <r>
      <rPr>
        <sz val="10"/>
        <rFont val="Arial"/>
      </rPr>
      <t xml:space="preserve"> be part of the parents’ household, even if they eat separately or have children of their own.  </t>
    </r>
  </si>
  <si>
    <r>
      <t xml:space="preserve">2.  Spouses who live together </t>
    </r>
    <r>
      <rPr>
        <b/>
        <sz val="10"/>
        <rFont val="Arial"/>
        <family val="2"/>
      </rPr>
      <t>must</t>
    </r>
    <r>
      <rPr>
        <sz val="10"/>
        <rFont val="Arial"/>
      </rPr>
      <t xml:space="preserve"> be in the same household.  </t>
    </r>
  </si>
  <si>
    <t xml:space="preserve">3.  Individuals (and their spouses) who cannot prepare their own food because they are both elderly and disabled can be a separate household, </t>
  </si>
  <si>
    <t>even if they eat with others, as long as the others they eat with have income below 165% of the federal poverty level.</t>
  </si>
  <si>
    <t xml:space="preserve">All household members must be considered together, and all of their income counts. </t>
  </si>
  <si>
    <t>The only way to exclude someone and their income from a food stamp household is to eat separately from them.</t>
  </si>
  <si>
    <t>"Elderly"</t>
  </si>
  <si>
    <t>Aged 60 or over.</t>
  </si>
  <si>
    <t>"Disabled"</t>
  </si>
  <si>
    <t xml:space="preserve">Receives government disability benefits at the SSI level of disability.  E.g., SSI, SSD, Healthy Horizons, MAWD, GA with a 12-month EAF.  </t>
  </si>
  <si>
    <t>As per FSH 510.21</t>
  </si>
  <si>
    <t>Click here for the on-line DPW reg.</t>
  </si>
  <si>
    <t>"Homeless"</t>
  </si>
  <si>
    <t xml:space="preserve">Homeless people are eligible for food stamps even if they live in a shelter where their meals are provided.  </t>
  </si>
  <si>
    <t>People may be considered homeless if they are doubling up with a friend or relative for less than 90 days.</t>
  </si>
  <si>
    <t xml:space="preserve">To get the standard homeless shelter deduction, the household must have some out-of-pocket shelter expenses.  </t>
  </si>
  <si>
    <t>Most homeless shelters charge fees, which count.  Buying things for the friend with whom one is staying would also count.</t>
  </si>
  <si>
    <t>Section 2. INCOME and ELIGIBILITY</t>
  </si>
  <si>
    <t>Monthly Gross Earned Income</t>
  </si>
  <si>
    <t>The food stamp office will multiply average weekly pay by 4 (not 4.3) to determine monthly earned income.</t>
  </si>
  <si>
    <t>Work-study does not count as income.</t>
  </si>
  <si>
    <t>This is only used to calculate eligibilty and not the actual benefit amount.</t>
  </si>
  <si>
    <t>Other Types of Income</t>
  </si>
  <si>
    <t>x</t>
  </si>
  <si>
    <r>
      <t xml:space="preserve">Types of income that </t>
    </r>
    <r>
      <rPr>
        <b/>
        <sz val="10"/>
        <rFont val="Arial"/>
        <family val="2"/>
      </rPr>
      <t>are</t>
    </r>
    <r>
      <rPr>
        <sz val="10"/>
        <rFont val="Arial"/>
      </rPr>
      <t xml:space="preserve"> eligible include SSI, Cash Assistance…</t>
    </r>
  </si>
  <si>
    <r>
      <t xml:space="preserve">Types of income that are </t>
    </r>
    <r>
      <rPr>
        <b/>
        <sz val="10"/>
        <rFont val="Arial"/>
        <family val="2"/>
      </rPr>
      <t>not</t>
    </r>
    <r>
      <rPr>
        <sz val="10"/>
        <rFont val="Arial"/>
      </rPr>
      <t xml:space="preserve"> eligible include Lottery Earnings, Illegal Gains, etc.</t>
    </r>
  </si>
  <si>
    <t>Initial Eligibility</t>
  </si>
  <si>
    <r>
      <t xml:space="preserve">1. If EVERY member of the Household is receiving TANF, GA or SSI, then the Household is </t>
    </r>
    <r>
      <rPr>
        <b/>
        <sz val="10"/>
        <rFont val="Arial"/>
        <family val="2"/>
      </rPr>
      <t>eligible</t>
    </r>
    <r>
      <rPr>
        <sz val="10"/>
        <rFont val="Arial"/>
        <family val="2"/>
      </rPr>
      <t xml:space="preserve"> for Food Stamps.</t>
    </r>
  </si>
  <si>
    <r>
      <t xml:space="preserve">2. If ANY member of the Household is Elderly (60+) or officially qualified for disability benefits, then the Household is </t>
    </r>
    <r>
      <rPr>
        <b/>
        <sz val="10"/>
        <rFont val="Arial"/>
        <family val="2"/>
      </rPr>
      <t>eligible</t>
    </r>
    <r>
      <rPr>
        <sz val="10"/>
        <rFont val="Arial"/>
        <family val="2"/>
      </rPr>
      <t xml:space="preserve"> for Food Stamps.</t>
    </r>
  </si>
  <si>
    <t>3. Otherwise, in order to be eligible…</t>
  </si>
  <si>
    <t>if the size of the</t>
  </si>
  <si>
    <t xml:space="preserve">…and the Monthly </t>
  </si>
  <si>
    <t xml:space="preserve"> Household is…</t>
  </si>
  <si>
    <t>Income does not Exceed…</t>
  </si>
  <si>
    <r>
      <t xml:space="preserve">then the family is </t>
    </r>
    <r>
      <rPr>
        <b/>
        <sz val="10"/>
        <rFont val="Arial"/>
        <family val="2"/>
      </rPr>
      <t>eligible</t>
    </r>
    <r>
      <rPr>
        <sz val="10"/>
        <rFont val="Arial"/>
        <family val="2"/>
      </rPr>
      <t xml:space="preserve"> for Food Stamps and may proceed.</t>
    </r>
  </si>
  <si>
    <t>Additional Per Person</t>
  </si>
  <si>
    <t>Max Benefit and Standard Deduction Table</t>
  </si>
  <si>
    <t>For a Household</t>
  </si>
  <si>
    <t>...the Maximum</t>
  </si>
  <si>
    <t>Standard Income</t>
  </si>
  <si>
    <t xml:space="preserve"> of Size…</t>
  </si>
  <si>
    <t>Benefit Amount is…</t>
  </si>
  <si>
    <t>Deduction (based on HH size)</t>
  </si>
  <si>
    <t>Special Cases</t>
  </si>
  <si>
    <t>There are some folks for whom the July 2009 expanded elegibility rules do not apply.</t>
  </si>
  <si>
    <t>For those folks the net income and 130% Gross Income tests still apply.</t>
  </si>
  <si>
    <t>Original DPW memo is here.</t>
  </si>
  <si>
    <t xml:space="preserve">The following few households do not qualify for Expanded CE: </t>
  </si>
  <si>
    <t xml:space="preserve">&gt;   Elderly/disabled households with income above 200 percent of the FPIGs, </t>
  </si>
  <si>
    <t xml:space="preserve">&gt;   Households whose head of household is currently disqualified for failing to comply with employment and training requirements, or </t>
  </si>
  <si>
    <t>&gt;   A household that has an Intentional Program Violation (IPV) that currently results in the disqualification of a household member.</t>
  </si>
  <si>
    <t>Tips</t>
  </si>
  <si>
    <t>Medical Expenses</t>
  </si>
  <si>
    <r>
      <t>Don't forget the Medicare Part B and/or D premiums if the client isn't receiving the buy-in or low income subsidy</t>
    </r>
    <r>
      <rPr>
        <sz val="10"/>
        <rFont val="Arial"/>
      </rPr>
      <t xml:space="preserve"> </t>
    </r>
  </si>
  <si>
    <t>Section 3.  EXCESS SHELTER COSTS</t>
  </si>
  <si>
    <t>Standard Utility Allowance</t>
  </si>
  <si>
    <t xml:space="preserve">The FSP uses standard amounts for utility expenses, regardless of the actual amount spent.  </t>
  </si>
  <si>
    <r>
      <t xml:space="preserve">TIP:  If a household pays even a </t>
    </r>
    <r>
      <rPr>
        <b/>
        <sz val="10"/>
        <rFont val="Arial"/>
        <family val="2"/>
      </rPr>
      <t>portion</t>
    </r>
    <r>
      <rPr>
        <sz val="10"/>
        <rFont val="Arial"/>
      </rPr>
      <t xml:space="preserve"> of its heating costs, it gets the maximum SUA.  </t>
    </r>
  </si>
  <si>
    <t xml:space="preserve">If the rent includes heat, see if the landlord will change the arrangements to specify that a certain amount of the rent is set aside for heat.  </t>
  </si>
  <si>
    <t>E.g.: If the rent is $500 including heat, have it changed to $450 for rent plus $50 for heat.</t>
  </si>
  <si>
    <t>Heating SUA</t>
  </si>
  <si>
    <t>Client Pays Heat or Cooling</t>
  </si>
  <si>
    <t>Non-Heating SUA</t>
  </si>
  <si>
    <t>Client Pays 2 Utilities, NOT Heat or Cooling, MAY include Phone</t>
  </si>
  <si>
    <t>Limited SUA</t>
  </si>
  <si>
    <t>Client Pays 1 Utility, but NOT Heat or Cooling, and NOT Phone</t>
  </si>
  <si>
    <t>Telephone Allowance</t>
  </si>
  <si>
    <t>Client Pays Phone Only</t>
  </si>
  <si>
    <t>Calculating the Excess Shelter Deduction</t>
  </si>
  <si>
    <t>General Rule</t>
  </si>
  <si>
    <t>Homeless</t>
  </si>
  <si>
    <t>Elderly</t>
  </si>
  <si>
    <t>If the Household has an Elderly (60+) or Disabled person, they may deduct their actual costs,</t>
  </si>
  <si>
    <t>with no cap, based on the calculations in Section 4.</t>
  </si>
  <si>
    <t>Section 4.  BENEFIT CALCULATION</t>
  </si>
  <si>
    <t>Minimum Benefit</t>
  </si>
  <si>
    <t xml:space="preserve">  Those conditions are:</t>
  </si>
  <si>
    <t>The Household has no more than 2 members</t>
  </si>
  <si>
    <t xml:space="preserve">   and</t>
  </si>
  <si>
    <t>Every member of the HH is on TANF, GA or SSI</t>
  </si>
  <si>
    <r>
      <t xml:space="preserve">If the HH meets 1&amp;2 and is still not eligible for Benefits, the Minimum Benefit </t>
    </r>
    <r>
      <rPr>
        <b/>
        <sz val="10"/>
        <rFont val="Arial"/>
        <family val="2"/>
      </rPr>
      <t>may</t>
    </r>
    <r>
      <rPr>
        <sz val="10"/>
        <rFont val="Arial"/>
      </rPr>
      <t xml:space="preserve"> apply.</t>
    </r>
  </si>
  <si>
    <t xml:space="preserve">Other folks get whatever the calculated benefit is -- there's no minimum for them. </t>
  </si>
  <si>
    <t>NOTE:</t>
  </si>
  <si>
    <t>Do not edit the numbers on this sheet unless you know what you are doing.</t>
  </si>
  <si>
    <t>Editing these tables will result in changes to the computed benefit amount.</t>
  </si>
  <si>
    <t>Last Edit:</t>
  </si>
  <si>
    <t>8/22/22</t>
  </si>
  <si>
    <t>SUATable</t>
  </si>
  <si>
    <t>Telephone</t>
  </si>
  <si>
    <t>Client Pays Neither Utilities nor Phone</t>
  </si>
  <si>
    <t>Size of current HH</t>
  </si>
  <si>
    <t>(As stated on the main sheet.)</t>
  </si>
  <si>
    <t>Gross Income Limits 200% FPIG</t>
  </si>
  <si>
    <t>Effective October 1, 2016</t>
  </si>
  <si>
    <t>Income Eligibility Standards</t>
  </si>
  <si>
    <t>Each add'l</t>
  </si>
  <si>
    <t>For Each Additional Person Above 10</t>
  </si>
  <si>
    <t>calc</t>
  </si>
  <si>
    <t>For a HH of ...</t>
  </si>
  <si>
    <t>vlookup</t>
  </si>
  <si>
    <t>This is how much we add</t>
  </si>
  <si>
    <t>These two numbers may not be the same if HH&lt;12</t>
  </si>
  <si>
    <t>This is what we add it to</t>
  </si>
  <si>
    <t>GrIncLimCalc &gt;</t>
  </si>
  <si>
    <t>This is the total</t>
  </si>
  <si>
    <t>Max Benefit</t>
  </si>
  <si>
    <t>* For each Additional Member over 10</t>
  </si>
  <si>
    <t xml:space="preserve">  * Unlike the Gross Income Limit above, this only calcs correctly for HH more than 10.</t>
  </si>
  <si>
    <t>Monthly Disregard Percentage</t>
  </si>
  <si>
    <t>Monthly Medical Allowance for Elderly or Disabled</t>
  </si>
  <si>
    <t>Standard Deduction Table</t>
  </si>
  <si>
    <t>Standard Income Deduction based on HH Size</t>
  </si>
  <si>
    <t>Dependent Care Allowance</t>
  </si>
  <si>
    <t>Children 2 and Under  -- THIS HAS BEEN SUPERSEDED -- NO CAP ANYMORE</t>
  </si>
  <si>
    <t xml:space="preserve"> -- THIS HAS BEEN SUPERSEDED -- NO CAP ANYMORE</t>
  </si>
  <si>
    <t>FPIG Net Income Limits (100%  FPIG)</t>
  </si>
  <si>
    <r>
      <t>*</t>
    </r>
    <r>
      <rPr>
        <sz val="10"/>
        <rFont val="Arial"/>
      </rPr>
      <t xml:space="preserve"> Note that this table is only used to test for eligibility for the Minimum Benefit Amount,</t>
    </r>
  </si>
  <si>
    <t>which only applies to households of less than 3.</t>
  </si>
  <si>
    <t>http://www.fns.usda.gov/fsp/government/FY07_Income_Standards.htm</t>
  </si>
  <si>
    <t>For folks who may not otherwise be eligible, see conditions at bottom of the Help Sheet</t>
  </si>
  <si>
    <t>Excess Shelter Max</t>
  </si>
  <si>
    <t>Also called "Shelter Deduction"</t>
  </si>
  <si>
    <t>Shelter Deduction</t>
  </si>
  <si>
    <t>This cap applies only to non-Elderly Households.</t>
  </si>
  <si>
    <t>Excess Shelter Homeless</t>
  </si>
  <si>
    <t>No change for October 2014</t>
  </si>
  <si>
    <t>Also called "Homeless Shelter Deduction"</t>
  </si>
  <si>
    <t>This alternative deduction applies only to Homeless HH and serves as a floor.</t>
  </si>
  <si>
    <t>(See Excess Shelter Table below...)</t>
  </si>
  <si>
    <t>Current HH_Status value</t>
  </si>
  <si>
    <t>This value is set based on Elderly/Disabled, Homeless, Rcv'ing TANF status.  See table below.</t>
  </si>
  <si>
    <t>HH_Status Codes</t>
  </si>
  <si>
    <t xml:space="preserve"> </t>
  </si>
  <si>
    <t>&lt;-- There is a single space in this cell</t>
  </si>
  <si>
    <t xml:space="preserve">At least one person in the Household is Elderly. </t>
  </si>
  <si>
    <t xml:space="preserve">(only) </t>
  </si>
  <si>
    <t>Household is Homeless.</t>
  </si>
  <si>
    <r>
      <t xml:space="preserve">Household is Elderly </t>
    </r>
    <r>
      <rPr>
        <b/>
        <sz val="10"/>
        <rFont val="Arial"/>
        <family val="2"/>
      </rPr>
      <t>and</t>
    </r>
    <r>
      <rPr>
        <sz val="10"/>
        <rFont val="Arial"/>
      </rPr>
      <t xml:space="preserve"> Homeless</t>
    </r>
  </si>
  <si>
    <t>All members of the Household are receiving TANF, GA or SSI (none are Elderly nor Homeless).</t>
  </si>
  <si>
    <r>
      <t xml:space="preserve">HH is Elderly </t>
    </r>
    <r>
      <rPr>
        <b/>
        <sz val="10"/>
        <rFont val="Arial"/>
        <family val="2"/>
      </rPr>
      <t>and</t>
    </r>
    <r>
      <rPr>
        <sz val="10"/>
        <rFont val="Arial"/>
      </rPr>
      <t xml:space="preserve"> All members are receiving TANF, GA or SSI.</t>
    </r>
  </si>
  <si>
    <r>
      <t xml:space="preserve">HH is Homeless </t>
    </r>
    <r>
      <rPr>
        <b/>
        <sz val="10"/>
        <rFont val="Arial"/>
        <family val="2"/>
      </rPr>
      <t>and</t>
    </r>
    <r>
      <rPr>
        <sz val="10"/>
        <rFont val="Arial"/>
      </rPr>
      <t xml:space="preserve"> All members are receiving TANF, GA or SSI.</t>
    </r>
  </si>
  <si>
    <r>
      <t xml:space="preserve">HH is Elderly </t>
    </r>
    <r>
      <rPr>
        <b/>
        <sz val="10"/>
        <rFont val="Arial"/>
        <family val="2"/>
      </rPr>
      <t>and</t>
    </r>
    <r>
      <rPr>
        <sz val="10"/>
        <rFont val="Arial"/>
      </rPr>
      <t xml:space="preserve"> Homeless </t>
    </r>
    <r>
      <rPr>
        <b/>
        <sz val="10"/>
        <rFont val="Arial"/>
        <family val="2"/>
      </rPr>
      <t>and</t>
    </r>
    <r>
      <rPr>
        <sz val="10"/>
        <rFont val="Arial"/>
      </rPr>
      <t xml:space="preserve"> All members are receiving TANF, GA or SSI.</t>
    </r>
  </si>
  <si>
    <t>XS_ShelterTable</t>
  </si>
  <si>
    <t>Because the HH has an Elderly/Disabled person, there is no cap on their Total Excess Shelter Deductions.</t>
  </si>
  <si>
    <t xml:space="preserve">Because the HH has an Elderly/Disabled person, there is no cap on their Total Excess Shelter Deductions.  </t>
  </si>
  <si>
    <t>XS_Shelter DeductionTable</t>
  </si>
  <si>
    <t>there is a cap</t>
  </si>
  <si>
    <t>Elderly, no cap</t>
  </si>
  <si>
    <t>Homeless, there is a floor</t>
  </si>
  <si>
    <t>Homeless and Elderly, there is a floor and no cap</t>
  </si>
  <si>
    <t>CatEligible, only a cap</t>
  </si>
  <si>
    <t>Up'd the Minimum to $16 and changed the benefit table.</t>
  </si>
  <si>
    <t>These changes are effective April 1st, 2009.</t>
  </si>
  <si>
    <t>http://www.fns.usda.gov/fsp/rules/Memo/09/021809.pdf</t>
  </si>
  <si>
    <t>Income limits changed from 130% to 160% of FPIG</t>
  </si>
  <si>
    <t>Separate Gross inc Limit tests for households based on Elderly/Disabled membership</t>
  </si>
  <si>
    <t>Removed the Net Income test when calculating eligibility for the Alt Minimum Benefit.</t>
  </si>
  <si>
    <t>Changed Min test so that it calcs the benefit, then in a separate cell tests to see if the Min should be applied.</t>
  </si>
  <si>
    <t>Note also indicates that Min is being applied.</t>
  </si>
  <si>
    <t>Test Homelessness v. Rent/Mortgage and throw up a flag if they conflict.</t>
  </si>
  <si>
    <t>Fixed Utility allowance bug</t>
  </si>
  <si>
    <t xml:space="preserve">Link the Last Revised date at the top of the first page to the edit date on the Help tab sheet. </t>
  </si>
  <si>
    <t>Also added comments to the Gross Income table explaining this sheet is for Categorically Eligible folks, which is most folks.</t>
  </si>
  <si>
    <t>Added some comments on Data tab to make it easier to "translate" between the annual Ops memo and our terminology.</t>
  </si>
  <si>
    <t>Added some space on Data tab to note when/where numbers do NOT change.</t>
  </si>
  <si>
    <t>Updated with latest COLA number as per LH</t>
  </si>
  <si>
    <t>Updated figures (Louise)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</si>
</sst>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mmmm\ yyyy"/>
  </numFmts>
  <fonts count="3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u/>
      <sz val="9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i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name val="Times New Roman"/>
      <family val="1"/>
    </font>
    <font>
      <u/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Times New Roman"/>
      <family val="1"/>
    </font>
    <font>
      <sz val="8"/>
      <color indexed="81"/>
      <name val="Tahoma"/>
      <family val="2"/>
    </font>
    <font>
      <sz val="10"/>
      <color indexed="9"/>
      <name val="Times New Roman"/>
      <family val="1"/>
    </font>
    <font>
      <b/>
      <sz val="8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2" fillId="0" borderId="0" xfId="0" applyFont="1"/>
    <xf numFmtId="0" fontId="3" fillId="0" borderId="0" xfId="2" applyAlignment="1" applyProtection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0" fillId="0" borderId="0" xfId="0" applyNumberFormat="1"/>
    <xf numFmtId="0" fontId="3" fillId="0" borderId="0" xfId="2" applyBorder="1" applyAlignment="1" applyProtection="1"/>
    <xf numFmtId="0" fontId="0" fillId="0" borderId="0" xfId="0" applyAlignment="1">
      <alignment horizontal="right"/>
    </xf>
    <xf numFmtId="42" fontId="0" fillId="0" borderId="0" xfId="1" applyNumberFormat="1" applyFont="1"/>
    <xf numFmtId="164" fontId="0" fillId="0" borderId="0" xfId="0" applyNumberFormat="1"/>
    <xf numFmtId="3" fontId="0" fillId="0" borderId="0" xfId="1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0" fontId="3" fillId="0" borderId="0" xfId="2" applyBorder="1" applyAlignment="1" applyProtection="1">
      <alignment horizontal="center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0" fillId="3" borderId="2" xfId="0" applyFill="1" applyBorder="1"/>
    <xf numFmtId="0" fontId="8" fillId="2" borderId="3" xfId="0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right" vertical="top" wrapText="1"/>
    </xf>
    <xf numFmtId="0" fontId="0" fillId="0" borderId="4" xfId="0" applyBorder="1"/>
    <xf numFmtId="0" fontId="7" fillId="2" borderId="5" xfId="0" applyFont="1" applyFill="1" applyBorder="1" applyAlignment="1">
      <alignment horizontal="left" vertical="top" wrapText="1"/>
    </xf>
    <xf numFmtId="6" fontId="6" fillId="0" borderId="0" xfId="0" applyNumberFormat="1" applyFont="1"/>
    <xf numFmtId="0" fontId="6" fillId="0" borderId="0" xfId="0" applyFont="1"/>
    <xf numFmtId="0" fontId="15" fillId="0" borderId="6" xfId="0" applyFont="1" applyBorder="1"/>
    <xf numFmtId="0" fontId="16" fillId="0" borderId="0" xfId="0" applyFont="1"/>
    <xf numFmtId="0" fontId="0" fillId="4" borderId="2" xfId="0" applyFill="1" applyBorder="1" applyProtection="1">
      <protection locked="0"/>
    </xf>
    <xf numFmtId="0" fontId="7" fillId="2" borderId="7" xfId="0" applyFont="1" applyFill="1" applyBorder="1" applyAlignment="1">
      <alignment vertical="top" wrapText="1"/>
    </xf>
    <xf numFmtId="0" fontId="0" fillId="0" borderId="8" xfId="0" applyBorder="1"/>
    <xf numFmtId="0" fontId="17" fillId="0" borderId="0" xfId="0" applyFont="1" applyAlignment="1">
      <alignment horizontal="right"/>
    </xf>
    <xf numFmtId="0" fontId="8" fillId="2" borderId="9" xfId="0" applyFont="1" applyFill="1" applyBorder="1" applyAlignment="1">
      <alignment vertical="top" wrapText="1"/>
    </xf>
    <xf numFmtId="0" fontId="18" fillId="2" borderId="10" xfId="0" applyFont="1" applyFill="1" applyBorder="1" applyAlignment="1">
      <alignment vertical="top" wrapText="1"/>
    </xf>
    <xf numFmtId="3" fontId="0" fillId="3" borderId="2" xfId="0" applyNumberForma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0" fillId="4" borderId="11" xfId="0" applyFill="1" applyBorder="1" applyProtection="1">
      <protection locked="0"/>
    </xf>
    <xf numFmtId="0" fontId="8" fillId="2" borderId="3" xfId="0" applyFont="1" applyFill="1" applyBorder="1" applyAlignment="1">
      <alignment horizontal="right" vertical="top" wrapText="1"/>
    </xf>
    <xf numFmtId="0" fontId="5" fillId="0" borderId="0" xfId="0" quotePrefix="1" applyFont="1"/>
    <xf numFmtId="0" fontId="0" fillId="0" borderId="0" xfId="0" applyAlignment="1">
      <alignment wrapText="1"/>
    </xf>
    <xf numFmtId="0" fontId="9" fillId="0" borderId="6" xfId="0" applyFont="1" applyBorder="1"/>
    <xf numFmtId="0" fontId="8" fillId="2" borderId="12" xfId="0" applyFont="1" applyFill="1" applyBorder="1" applyAlignment="1">
      <alignment horizontal="right" vertical="top" wrapText="1"/>
    </xf>
    <xf numFmtId="3" fontId="0" fillId="3" borderId="13" xfId="0" applyNumberFormat="1" applyFill="1" applyBorder="1"/>
    <xf numFmtId="0" fontId="27" fillId="0" borderId="0" xfId="0" applyFont="1"/>
    <xf numFmtId="0" fontId="27" fillId="0" borderId="0" xfId="0" applyFont="1" applyAlignment="1">
      <alignment horizontal="center"/>
    </xf>
    <xf numFmtId="0" fontId="26" fillId="0" borderId="0" xfId="0" applyFont="1"/>
    <xf numFmtId="0" fontId="22" fillId="0" borderId="0" xfId="0" applyFont="1" applyAlignment="1">
      <alignment horizontal="right"/>
    </xf>
    <xf numFmtId="0" fontId="0" fillId="0" borderId="0" xfId="0" applyAlignment="1">
      <alignment horizontal="left"/>
    </xf>
    <xf numFmtId="6" fontId="0" fillId="0" borderId="0" xfId="0" applyNumberFormat="1"/>
    <xf numFmtId="0" fontId="0" fillId="4" borderId="2" xfId="0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8" fillId="2" borderId="1" xfId="0" applyFont="1" applyFill="1" applyBorder="1" applyAlignment="1">
      <alignment horizontal="right" vertical="top" wrapText="1"/>
    </xf>
    <xf numFmtId="164" fontId="9" fillId="3" borderId="14" xfId="0" applyNumberFormat="1" applyFont="1" applyFill="1" applyBorder="1"/>
    <xf numFmtId="10" fontId="0" fillId="5" borderId="0" xfId="0" applyNumberFormat="1" applyFill="1" applyAlignment="1">
      <alignment horizontal="center"/>
    </xf>
    <xf numFmtId="0" fontId="0" fillId="5" borderId="2" xfId="0" applyFill="1" applyBorder="1"/>
    <xf numFmtId="0" fontId="28" fillId="0" borderId="0" xfId="0" applyFont="1"/>
    <xf numFmtId="0" fontId="28" fillId="0" borderId="0" xfId="0" applyFont="1" applyAlignment="1">
      <alignment horizontal="right"/>
    </xf>
    <xf numFmtId="0" fontId="0" fillId="5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0" xfId="0" quotePrefix="1"/>
    <xf numFmtId="0" fontId="13" fillId="0" borderId="0" xfId="0" applyFont="1" applyAlignment="1">
      <alignment horizontal="center"/>
    </xf>
    <xf numFmtId="0" fontId="10" fillId="2" borderId="0" xfId="2" applyFont="1" applyFill="1" applyBorder="1" applyAlignment="1" applyProtection="1">
      <alignment horizontal="left" vertical="top"/>
    </xf>
    <xf numFmtId="0" fontId="27" fillId="0" borderId="0" xfId="0" applyFont="1" applyAlignment="1">
      <alignment horizontal="left"/>
    </xf>
    <xf numFmtId="0" fontId="23" fillId="0" borderId="0" xfId="0" applyFont="1"/>
    <xf numFmtId="164" fontId="0" fillId="0" borderId="0" xfId="0" applyNumberFormat="1" applyAlignment="1">
      <alignment horizontal="left"/>
    </xf>
    <xf numFmtId="1" fontId="0" fillId="3" borderId="17" xfId="0" applyNumberFormat="1" applyFill="1" applyBorder="1"/>
    <xf numFmtId="0" fontId="30" fillId="0" borderId="0" xfId="0" quotePrefix="1" applyFont="1"/>
    <xf numFmtId="0" fontId="31" fillId="2" borderId="0" xfId="0" applyFont="1" applyFill="1" applyAlignment="1">
      <alignment horizontal="left" vertical="top" wrapText="1"/>
    </xf>
    <xf numFmtId="0" fontId="31" fillId="2" borderId="0" xfId="0" applyFont="1" applyFill="1" applyAlignment="1">
      <alignment horizontal="left" vertical="top"/>
    </xf>
    <xf numFmtId="0" fontId="2" fillId="0" borderId="18" xfId="0" applyFont="1" applyBorder="1"/>
    <xf numFmtId="0" fontId="12" fillId="0" borderId="18" xfId="0" applyFont="1" applyBorder="1"/>
    <xf numFmtId="0" fontId="0" fillId="0" borderId="18" xfId="0" applyBorder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5" fillId="0" borderId="0" xfId="0" applyFont="1"/>
    <xf numFmtId="0" fontId="27" fillId="0" borderId="0" xfId="0" quotePrefix="1" applyFont="1"/>
    <xf numFmtId="0" fontId="17" fillId="0" borderId="0" xfId="0" applyFont="1" applyAlignment="1">
      <alignment horizontal="center"/>
    </xf>
    <xf numFmtId="0" fontId="29" fillId="0" borderId="0" xfId="0" applyFont="1"/>
    <xf numFmtId="0" fontId="14" fillId="0" borderId="0" xfId="0" applyFont="1"/>
    <xf numFmtId="3" fontId="0" fillId="0" borderId="0" xfId="0" applyNumberFormat="1"/>
    <xf numFmtId="0" fontId="31" fillId="2" borderId="0" xfId="0" applyFont="1" applyFill="1" applyAlignment="1">
      <alignment horizontal="right" vertical="top"/>
    </xf>
    <xf numFmtId="0" fontId="31" fillId="2" borderId="0" xfId="0" applyFont="1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16" xfId="0" applyBorder="1"/>
    <xf numFmtId="0" fontId="3" fillId="0" borderId="15" xfId="2" applyFill="1" applyBorder="1" applyAlignment="1" applyProtection="1"/>
    <xf numFmtId="0" fontId="0" fillId="0" borderId="0" xfId="0" applyProtection="1">
      <protection locked="0"/>
    </xf>
    <xf numFmtId="4" fontId="22" fillId="0" borderId="0" xfId="0" applyNumberFormat="1" applyFont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3" fontId="0" fillId="3" borderId="17" xfId="0" applyNumberFormat="1" applyFill="1" applyBorder="1"/>
    <xf numFmtId="0" fontId="14" fillId="2" borderId="0" xfId="0" applyFont="1" applyFill="1" applyAlignment="1">
      <alignment horizontal="left"/>
    </xf>
    <xf numFmtId="0" fontId="17" fillId="0" borderId="0" xfId="0" applyFont="1" applyAlignment="1">
      <alignment horizontal="right" vertical="center"/>
    </xf>
    <xf numFmtId="0" fontId="17" fillId="2" borderId="18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right" vertical="center"/>
    </xf>
    <xf numFmtId="3" fontId="0" fillId="4" borderId="2" xfId="0" applyNumberFormat="1" applyFill="1" applyBorder="1" applyProtection="1">
      <protection locked="0"/>
    </xf>
    <xf numFmtId="3" fontId="0" fillId="3" borderId="19" xfId="0" applyNumberFormat="1" applyFill="1" applyBorder="1"/>
    <xf numFmtId="3" fontId="0" fillId="4" borderId="13" xfId="0" applyNumberFormat="1" applyFill="1" applyBorder="1" applyProtection="1">
      <protection locked="0"/>
    </xf>
    <xf numFmtId="3" fontId="0" fillId="3" borderId="11" xfId="0" applyNumberFormat="1" applyFill="1" applyBorder="1"/>
    <xf numFmtId="0" fontId="14" fillId="0" borderId="0" xfId="0" applyFont="1" applyAlignment="1">
      <alignment horizontal="center" vertical="center"/>
    </xf>
    <xf numFmtId="14" fontId="0" fillId="0" borderId="0" xfId="0" applyNumberFormat="1"/>
    <xf numFmtId="0" fontId="17" fillId="0" borderId="0" xfId="0" applyFont="1" applyAlignment="1">
      <alignment horizontal="center" vertical="center"/>
    </xf>
    <xf numFmtId="0" fontId="33" fillId="2" borderId="0" xfId="0" applyFont="1" applyFill="1" applyAlignment="1">
      <alignment horizontal="right" vertical="center"/>
    </xf>
    <xf numFmtId="0" fontId="3" fillId="0" borderId="0" xfId="2" applyAlignment="1" applyProtection="1">
      <alignment horizontal="left"/>
    </xf>
    <xf numFmtId="0" fontId="0" fillId="0" borderId="0" xfId="0" applyAlignment="1">
      <alignment vertical="top"/>
    </xf>
    <xf numFmtId="0" fontId="31" fillId="2" borderId="0" xfId="0" applyFont="1" applyFill="1" applyAlignment="1">
      <alignment horizontal="right"/>
    </xf>
    <xf numFmtId="0" fontId="14" fillId="0" borderId="0" xfId="0" applyFont="1" applyAlignment="1">
      <alignment horizontal="left" vertical="center"/>
    </xf>
    <xf numFmtId="0" fontId="27" fillId="0" borderId="0" xfId="0" applyFont="1" applyAlignment="1">
      <alignment horizontal="right"/>
    </xf>
    <xf numFmtId="17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17" fontId="5" fillId="0" borderId="0" xfId="0" applyNumberFormat="1" applyFont="1" applyAlignment="1">
      <alignment horizontal="left"/>
    </xf>
    <xf numFmtId="164" fontId="35" fillId="0" borderId="0" xfId="0" applyNumberFormat="1" applyFont="1" applyAlignment="1">
      <alignment horizontal="left"/>
    </xf>
    <xf numFmtId="165" fontId="14" fillId="0" borderId="0" xfId="0" applyNumberFormat="1" applyFont="1" applyAlignment="1">
      <alignment horizontal="right"/>
    </xf>
    <xf numFmtId="0" fontId="27" fillId="4" borderId="2" xfId="0" applyFont="1" applyFill="1" applyBorder="1" applyAlignment="1" applyProtection="1">
      <alignment horizontal="center"/>
      <protection locked="0"/>
    </xf>
    <xf numFmtId="14" fontId="5" fillId="0" borderId="0" xfId="0" applyNumberFormat="1" applyFont="1" applyAlignment="1">
      <alignment horizontal="left"/>
    </xf>
    <xf numFmtId="49" fontId="14" fillId="0" borderId="0" xfId="0" applyNumberFormat="1" applyFont="1" applyAlignment="1" applyProtection="1">
      <alignment horizontal="left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13" fillId="2" borderId="21" xfId="0" applyFont="1" applyFill="1" applyBorder="1" applyAlignment="1">
      <alignment horizontal="right" vertical="top" wrapText="1"/>
    </xf>
    <xf numFmtId="0" fontId="6" fillId="4" borderId="17" xfId="0" applyFont="1" applyFill="1" applyBorder="1" applyAlignment="1" applyProtection="1">
      <alignment horizontal="center"/>
      <protection locked="0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3" fontId="23" fillId="0" borderId="14" xfId="0" applyNumberFormat="1" applyFont="1" applyBorder="1" applyAlignment="1">
      <alignment horizontal="center"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3" fontId="36" fillId="0" borderId="15" xfId="0" applyNumberFormat="1" applyFont="1" applyBorder="1" applyAlignment="1">
      <alignment horizontal="center" vertical="center" wrapText="1"/>
    </xf>
    <xf numFmtId="6" fontId="23" fillId="0" borderId="14" xfId="0" applyNumberFormat="1" applyFont="1" applyBorder="1" applyAlignment="1">
      <alignment horizontal="center" vertical="center" wrapText="1"/>
    </xf>
    <xf numFmtId="6" fontId="23" fillId="0" borderId="15" xfId="0" applyNumberFormat="1" applyFont="1" applyBorder="1" applyAlignment="1">
      <alignment horizontal="center" vertical="center" wrapText="1"/>
    </xf>
    <xf numFmtId="6" fontId="36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9" fillId="0" borderId="16" xfId="0" applyFont="1" applyBorder="1"/>
    <xf numFmtId="0" fontId="21" fillId="0" borderId="4" xfId="0" applyFont="1" applyBorder="1"/>
    <xf numFmtId="0" fontId="21" fillId="0" borderId="20" xfId="0" applyFont="1" applyBorder="1"/>
  </cellXfs>
  <cellStyles count="3">
    <cellStyle name="Currency" xfId="1" builtinId="4"/>
    <cellStyle name="Hyperlink" xfId="2" builtinId="8"/>
    <cellStyle name="Normal" xfId="0" builtinId="0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lsphila.org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dpw.state.pa.us/oimpolicymanuals/manuals/bop/ops/OPS080905.pdf" TargetMode="External"/><Relationship Id="rId1" Type="http://schemas.openxmlformats.org/officeDocument/2006/relationships/hyperlink" Target="http://www.dpw.state.pa.us/oimpolicymanuals/manuals/bop/Fs/510/510-01.ht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fns.usda.gov/fsp/government/FY07_Income_Standards.htm" TargetMode="Externa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pageSetUpPr fitToPage="1"/>
  </sheetPr>
  <dimension ref="B1:Q79"/>
  <sheetViews>
    <sheetView showGridLines="0" tabSelected="1" workbookViewId="0">
      <selection activeCell="C10" sqref="C10"/>
    </sheetView>
  </sheetViews>
  <sheetFormatPr defaultRowHeight="12.5" x14ac:dyDescent="0.25"/>
  <cols>
    <col min="1" max="1" width="4.81640625" customWidth="1"/>
    <col min="2" max="2" width="76.81640625" customWidth="1"/>
    <col min="3" max="3" width="15.54296875" customWidth="1"/>
    <col min="4" max="4" width="33.1796875" customWidth="1"/>
    <col min="5" max="8" width="31.54296875" style="3" customWidth="1"/>
    <col min="9" max="9" width="33.453125" customWidth="1"/>
    <col min="10" max="10" width="9.54296875" customWidth="1"/>
    <col min="11" max="11" width="11.81640625" customWidth="1"/>
  </cols>
  <sheetData>
    <row r="1" spans="2:17" ht="13" thickBot="1" x14ac:dyDescent="0.3">
      <c r="C1" s="85"/>
    </row>
    <row r="2" spans="2:17" ht="15.5" x14ac:dyDescent="0.35">
      <c r="B2" s="39" t="s">
        <v>0</v>
      </c>
      <c r="C2" s="23" t="s">
        <v>1</v>
      </c>
    </row>
    <row r="3" spans="2:17" x14ac:dyDescent="0.25">
      <c r="B3" s="127" t="str">
        <f>CONCATENATE("Revised on ", _EditDate)</f>
        <v>Revised on 8/22/22</v>
      </c>
      <c r="C3" s="57" t="s">
        <v>2</v>
      </c>
    </row>
    <row r="4" spans="2:17" x14ac:dyDescent="0.25">
      <c r="B4" s="83"/>
      <c r="C4" s="58" t="s">
        <v>3</v>
      </c>
    </row>
    <row r="5" spans="2:17" ht="13" thickBot="1" x14ac:dyDescent="0.3">
      <c r="B5" s="84" t="s">
        <v>4</v>
      </c>
      <c r="C5" s="56" t="s">
        <v>5</v>
      </c>
    </row>
    <row r="6" spans="2:17" x14ac:dyDescent="0.25">
      <c r="B6" s="22"/>
    </row>
    <row r="7" spans="2:17" ht="13.5" thickBot="1" x14ac:dyDescent="0.35">
      <c r="B7" s="1"/>
      <c r="E7"/>
      <c r="F7"/>
      <c r="G7"/>
      <c r="H7"/>
    </row>
    <row r="8" spans="2:17" ht="15" x14ac:dyDescent="0.25">
      <c r="B8" s="26" t="s">
        <v>6</v>
      </c>
      <c r="C8" s="27"/>
      <c r="D8" s="13"/>
    </row>
    <row r="9" spans="2:17" ht="15.75" customHeight="1" x14ac:dyDescent="0.25">
      <c r="B9" s="14" t="s">
        <v>7</v>
      </c>
      <c r="C9" s="48"/>
      <c r="E9" s="13"/>
      <c r="F9" s="13"/>
      <c r="G9" s="13"/>
      <c r="H9" s="13"/>
    </row>
    <row r="10" spans="2:17" ht="18" customHeight="1" x14ac:dyDescent="0.25">
      <c r="B10" s="14" t="s">
        <v>8</v>
      </c>
      <c r="C10" s="115"/>
      <c r="D10" s="97" t="str">
        <f>IF(OR(C10="y", C10="n"),""," &lt;&lt; Enter 'y' or 'n'")</f>
        <v xml:space="preserve"> &lt;&lt; Enter 'y' or 'n'</v>
      </c>
      <c r="E10" s="13"/>
      <c r="F10" s="13"/>
      <c r="G10" s="13"/>
      <c r="H10" s="13"/>
      <c r="J10">
        <f>IF(HH_ElderlyDisabled="y",1,0)</f>
        <v>0</v>
      </c>
      <c r="K10" t="s">
        <v>9</v>
      </c>
    </row>
    <row r="11" spans="2:17" ht="18.75" customHeight="1" x14ac:dyDescent="0.25">
      <c r="B11" s="14" t="s">
        <v>10</v>
      </c>
      <c r="C11" s="115"/>
      <c r="D11" s="97" t="str">
        <f>IF(OR(C11="y", C11="n"),""," &lt;&lt; Enter 'y' or 'n'")</f>
        <v xml:space="preserve"> &lt;&lt; Enter 'y' or 'n'</v>
      </c>
      <c r="E11" s="13"/>
      <c r="F11" s="13"/>
      <c r="G11" s="13"/>
      <c r="H11" s="13"/>
      <c r="J11">
        <f>IF(HH_Homeless="y",2,0)</f>
        <v>0</v>
      </c>
      <c r="K11" t="s">
        <v>11</v>
      </c>
    </row>
    <row r="12" spans="2:17" ht="18.75" customHeight="1" thickBot="1" x14ac:dyDescent="0.3">
      <c r="B12" s="17" t="s">
        <v>12</v>
      </c>
      <c r="C12" s="117"/>
      <c r="D12" s="97" t="str">
        <f>IF(OR(C12="y", C12="n"),""," &lt;&lt; Enter 'y' or 'n'")</f>
        <v xml:space="preserve"> &lt;&lt; Enter 'y' or 'n'</v>
      </c>
      <c r="J12">
        <f>IF(HH_EveryMemberIS="y",4,0)</f>
        <v>0</v>
      </c>
      <c r="K12" t="s">
        <v>13</v>
      </c>
    </row>
    <row r="13" spans="2:17" ht="15.75" customHeight="1" thickBot="1" x14ac:dyDescent="0.35">
      <c r="B13" s="28"/>
      <c r="D13" s="37"/>
      <c r="E13" s="7"/>
      <c r="F13" s="7"/>
      <c r="G13" s="7"/>
      <c r="H13" s="7"/>
      <c r="J13" s="1">
        <f>SUM(J10:J12)</f>
        <v>0</v>
      </c>
      <c r="K13" t="s">
        <v>14</v>
      </c>
      <c r="Q13" s="6" t="s">
        <v>15</v>
      </c>
    </row>
    <row r="14" spans="2:17" ht="18.75" customHeight="1" x14ac:dyDescent="0.25">
      <c r="B14" s="20" t="s">
        <v>16</v>
      </c>
      <c r="C14" s="19"/>
      <c r="J14">
        <f>IF(HH_EldCode+HH_EveryMemberISCode&gt;0, 1,0)</f>
        <v>0</v>
      </c>
      <c r="K14" t="s">
        <v>17</v>
      </c>
    </row>
    <row r="15" spans="2:17" ht="12.75" customHeight="1" x14ac:dyDescent="0.25">
      <c r="B15" s="14" t="s">
        <v>18</v>
      </c>
      <c r="C15" s="93"/>
      <c r="K15" t="s">
        <v>19</v>
      </c>
    </row>
    <row r="16" spans="2:17" ht="13" x14ac:dyDescent="0.3">
      <c r="B16" s="14" t="s">
        <v>20</v>
      </c>
      <c r="C16" s="93"/>
      <c r="D16" s="74"/>
      <c r="J16" s="79" t="e">
        <f xml:space="preserve"> IF(HH_Total &lt; 11, Data!E29, GrIncLimCalc)</f>
        <v>#N/A</v>
      </c>
      <c r="K16" t="s">
        <v>21</v>
      </c>
    </row>
    <row r="17" spans="2:15" ht="13.5" thickBot="1" x14ac:dyDescent="0.3">
      <c r="B17" s="15" t="s">
        <v>22</v>
      </c>
      <c r="C17" s="96">
        <f>+MonthlyGrossEarnedIncome*MonthlyDisregardPercentage</f>
        <v>0</v>
      </c>
      <c r="D17" s="52">
        <f>MonthlyDisregardPercentage</f>
        <v>0.2</v>
      </c>
      <c r="K17" t="s">
        <v>23</v>
      </c>
    </row>
    <row r="18" spans="2:15" ht="13.5" thickTop="1" x14ac:dyDescent="0.3">
      <c r="B18" s="15" t="s">
        <v>24</v>
      </c>
      <c r="C18" s="94">
        <f>MonthlyGrossEarnedIncome-EarnedIncomeDisregard</f>
        <v>0</v>
      </c>
      <c r="D18" s="74"/>
      <c r="J18" s="79"/>
      <c r="K18" s="102" t="s">
        <v>25</v>
      </c>
    </row>
    <row r="19" spans="2:15" ht="26" x14ac:dyDescent="0.25">
      <c r="B19" s="14" t="s">
        <v>26</v>
      </c>
      <c r="C19" s="95"/>
    </row>
    <row r="20" spans="2:15" ht="13" x14ac:dyDescent="0.3">
      <c r="B20" s="29" t="s">
        <v>27</v>
      </c>
      <c r="C20" s="31">
        <f>MonthlyGrossEarnedIncome+Monthly_UI_Total</f>
        <v>0</v>
      </c>
      <c r="D20" s="89" t="str">
        <f>IF(HH_Total&gt;0,IF((HH_Status&gt;0),"",IF(Gross_Inc_HH&gt;Gross_Inc_Limit,CONCATENATE(" &lt;&lt;  Gross Income is too high.",),"")), "")</f>
        <v/>
      </c>
      <c r="J20" s="42" t="str">
        <f>IF(HH_Total&gt;0,IF((HH_Status&gt;0),"HHTotal&gt;0 and Status&gt;0",IF(Gross_Inc_HH&gt;Gross_Inc_Limit,CONCATENATE("The Gross Income Limit for a (non-disabled) family of ", HH_Total, " is  $", Gross_Inc_Limit),"Gross income limit for a Eld/Dis family is...")), "HH_Total is NOT greater than 0")</f>
        <v>HH_Total is NOT greater than 0</v>
      </c>
    </row>
    <row r="21" spans="2:15" ht="13.5" thickBot="1" x14ac:dyDescent="0.35">
      <c r="B21" s="36" t="s">
        <v>28</v>
      </c>
      <c r="C21" s="88">
        <f>Monthly_UI_Total+MonthlyNetEarnedIncome</f>
        <v>0</v>
      </c>
      <c r="D21" s="81"/>
      <c r="J21" t="e">
        <f>IF(HH_Total&gt;0,IF((HH_Status&gt;4),"eligible based on composition", "n"),IF((Gross_Inc_HH&lt;Gross_Inc_Limit),CONCATENATE("The Gross Income Limit for a family of ", HH_Total, " is  $", Gross_Inc_Limit," eligible based on income"),"not eligible based on income"))</f>
        <v>#N/A</v>
      </c>
    </row>
    <row r="22" spans="2:15" ht="18" customHeight="1" x14ac:dyDescent="0.3">
      <c r="B22" s="92" t="e">
        <f>IF(HH_Status&gt;3, "Eligibility is based on the household composition.", IF(Gross_Inc_HH&gt;Gross_Inc_Limit,CONCATENATE("The gross income of this family of ", HH_Total, " is over the Gross Income Limit of  $", Gross_Inc_Limit), "Eligibility is based on Income."))</f>
        <v>#N/A</v>
      </c>
      <c r="C22" s="99" t="e">
        <f>IF(HH_Status&gt;3, "P R O C E E D.", IF(Gross_Inc_HH&gt;Gross_Inc_Limit,"S T O P ! ! ! ", "P R O C E E D."))</f>
        <v>#N/A</v>
      </c>
      <c r="D22" s="100" t="e">
        <f>IF(HH_Status&gt;3, 1, IF(Gross_Inc_HH&gt;Gross_Inc_Limit,0, 1))</f>
        <v>#N/A</v>
      </c>
      <c r="E22" s="60"/>
      <c r="F22" s="60"/>
      <c r="G22" s="60"/>
      <c r="H22" s="60"/>
      <c r="J22" t="e">
        <f>IF(HH_Status&gt;3, "(Elig based on Comp)", IF(Gross_Inc_HH&gt;Gross_Inc_Limit,CONCATENATE("NOT ELIG: The Gross Income Limit for this family of ", HH_Total, " is  $", Gross_Inc_Limit), CONCATENATE("ELIG: The Gross Income Limit for this family of ", HH_Total, " is  $", Gross_Inc_Limit)))</f>
        <v>#N/A</v>
      </c>
    </row>
    <row r="23" spans="2:15" ht="13" x14ac:dyDescent="0.25">
      <c r="B23" s="14" t="str">
        <f>IF(HH_Total&lt;2, CONCATENATE("  2.6  The standard deduction for a household with ",HH_Total, " member is"), CONCATENATE("  2.6  The standard deduction for a household with ",HH_Total, " members is"))</f>
        <v xml:space="preserve">  2.6  The standard deduction for a household with  member is</v>
      </c>
      <c r="C23" s="53" t="b">
        <f>IF(HH_Total&gt;0,IF(HH_Total&gt;0,(VLOOKUP(HH_Total,SD_Table,2,TRUE)),""))</f>
        <v>0</v>
      </c>
      <c r="E23"/>
      <c r="F23"/>
      <c r="G23"/>
      <c r="H23"/>
      <c r="J23" t="str">
        <f>IF(HH_Total&gt;0,IF((HH_Status&gt;0),"Client is eligible for benefits based on the HH composition in Sect. 1.  PROCEED...",IF(Gross_Inc_HH&gt;Gross_Inc_Limit," S T O P !     --- Client is NOT eligible for benefits, Gross income is too high.  ----","Client is eligible for benefits based on income.  PROCEED...")), "HH size is unanswered")</f>
        <v>HH size is unanswered</v>
      </c>
    </row>
    <row r="24" spans="2:15" ht="13" x14ac:dyDescent="0.3">
      <c r="B24" s="29" t="s">
        <v>29</v>
      </c>
      <c r="C24" s="25"/>
      <c r="D24" s="74"/>
    </row>
    <row r="25" spans="2:15" ht="30" customHeight="1" x14ac:dyDescent="0.35">
      <c r="B25" s="30" t="s">
        <v>30</v>
      </c>
      <c r="C25" s="16"/>
      <c r="D25" s="74"/>
      <c r="E25" s="32"/>
      <c r="F25" s="32"/>
      <c r="G25" s="32"/>
      <c r="H25" s="32"/>
      <c r="J25">
        <f>IF(CashOnHand&lt;100,1,0)</f>
        <v>1</v>
      </c>
      <c r="K25" t="s">
        <v>31</v>
      </c>
      <c r="O25" s="22" t="s">
        <v>32</v>
      </c>
    </row>
    <row r="26" spans="2:15" ht="15.5" x14ac:dyDescent="0.35">
      <c r="B26" s="14" t="s">
        <v>33</v>
      </c>
      <c r="C26" s="93"/>
      <c r="D26" s="74"/>
      <c r="E26" s="33"/>
      <c r="F26" s="33"/>
      <c r="G26" s="33"/>
      <c r="H26" s="33"/>
      <c r="I26" s="34"/>
      <c r="J26">
        <f>IF((C16+C19)&lt;150,1,0)</f>
        <v>1</v>
      </c>
      <c r="K26" t="s">
        <v>34</v>
      </c>
      <c r="O26" s="22" t="s">
        <v>35</v>
      </c>
    </row>
    <row r="27" spans="2:15" ht="15.5" x14ac:dyDescent="0.35">
      <c r="B27" s="14" t="s">
        <v>36</v>
      </c>
      <c r="C27" s="93"/>
      <c r="D27" s="104" t="str">
        <f>IF(HH_EldCode&lt;1, IF(Monthly_MedicalExpenses&gt;HH_EldCode, "   &lt;&lt;  ! ", ""), "")</f>
        <v/>
      </c>
      <c r="E27" s="33"/>
      <c r="F27" s="33"/>
      <c r="G27" s="33"/>
      <c r="H27" s="33"/>
      <c r="I27" s="34"/>
      <c r="J27">
        <f>IF(Total_Unadj_ShelterCosts&gt;(CashOnHand+MonthlyGrossEarnedIncome),2,0)</f>
        <v>0</v>
      </c>
      <c r="O27" s="22" t="s">
        <v>37</v>
      </c>
    </row>
    <row r="28" spans="2:15" ht="13" x14ac:dyDescent="0.25">
      <c r="B28" s="29" t="str">
        <f>CONCATENATE("  2.10  The Monthly medical expenses minus the  $",   MonthlyMedicalAllowance, " monthly medical allowance is")</f>
        <v xml:space="preserve">  2.10  The Monthly medical expenses minus the  $35 monthly medical allowance is</v>
      </c>
      <c r="C28" s="41">
        <f>MAX(Monthly_MedicalExpenses-MonthlyMedicalAllowance,0)</f>
        <v>0</v>
      </c>
      <c r="D28" s="104"/>
      <c r="E28"/>
      <c r="F28"/>
      <c r="G28"/>
      <c r="H28"/>
      <c r="J28">
        <f>SUM(J25:J27)</f>
        <v>2</v>
      </c>
      <c r="K28" t="str">
        <f>IF(J28&gt;1,"Client qualifies for EXPEDITED SNAP !","Client does NOT qualifies for EXPEDITED SNAP")</f>
        <v>Client qualifies for EXPEDITED SNAP !</v>
      </c>
      <c r="O28" s="22" t="s">
        <v>38</v>
      </c>
    </row>
    <row r="29" spans="2:15" ht="13.5" thickBot="1" x14ac:dyDescent="0.35">
      <c r="B29" s="18" t="s">
        <v>39</v>
      </c>
      <c r="C29" s="88" t="e">
        <f>MAX(0,IF(HH_Total&gt;0, (+Monthly_All_Income-Monthly_SD_for_HH-Monthly_DepCare_Deduction-Monthly_CourtChildSupport-Monthly_Adj_Medical_Exp), "No Data"))</f>
        <v>#VALUE!</v>
      </c>
      <c r="D29" s="74"/>
      <c r="E29"/>
      <c r="F29"/>
      <c r="G29"/>
      <c r="H29"/>
    </row>
    <row r="30" spans="2:15" ht="13.5" thickBot="1" x14ac:dyDescent="0.35">
      <c r="B30" s="116"/>
      <c r="C30" s="90" t="str">
        <f>IF(HH_ElderlyDisabled="n", IF(Monthly_MedicalExpenses&gt;HH_EldCode, " You have entered Monthly Medical expenses for Elderly or Disabled that are not listed in this Household", ""), "")</f>
        <v/>
      </c>
      <c r="D30" s="74"/>
      <c r="E30"/>
      <c r="F30"/>
      <c r="G30"/>
      <c r="H30"/>
    </row>
    <row r="31" spans="2:15" ht="15" x14ac:dyDescent="0.25">
      <c r="B31" s="20" t="s">
        <v>40</v>
      </c>
      <c r="C31" s="128"/>
      <c r="D31" s="6"/>
      <c r="E31"/>
      <c r="F31"/>
      <c r="G31"/>
      <c r="H31"/>
    </row>
    <row r="32" spans="2:15" ht="13" x14ac:dyDescent="0.25">
      <c r="B32" s="14" t="s">
        <v>41</v>
      </c>
      <c r="C32" s="129"/>
      <c r="D32" s="6"/>
      <c r="E32"/>
      <c r="F32"/>
      <c r="G32"/>
      <c r="H32"/>
    </row>
    <row r="33" spans="2:11" ht="13" x14ac:dyDescent="0.3">
      <c r="B33" s="50" t="s">
        <v>42</v>
      </c>
      <c r="C33" s="112"/>
      <c r="D33" s="49" t="str">
        <f>IF(OR(C33="y", C33="n"),""," &lt;&lt; Enter 'y' or 'n'")</f>
        <v xml:space="preserve"> &lt;&lt; Enter 'y' or 'n'</v>
      </c>
    </row>
    <row r="34" spans="2:11" ht="13" x14ac:dyDescent="0.3">
      <c r="B34" s="50" t="s">
        <v>43</v>
      </c>
      <c r="C34" s="112"/>
      <c r="D34" s="49" t="str">
        <f>IF(C33="n", IF(OR(C34="y",C34="n"),"","&lt;&lt; Enter 'y' or 'n'"),"")</f>
        <v/>
      </c>
    </row>
    <row r="35" spans="2:11" ht="13" x14ac:dyDescent="0.3">
      <c r="B35" s="50" t="s">
        <v>44</v>
      </c>
      <c r="C35" s="112"/>
      <c r="D35" s="49" t="str">
        <f>IF(C34="n", IF(OR(C35="y",C35="n"),"","&lt;&lt; Enter 'y' or 'n'"),"")</f>
        <v/>
      </c>
    </row>
    <row r="36" spans="2:11" ht="13" x14ac:dyDescent="0.3">
      <c r="B36" s="50" t="s">
        <v>45</v>
      </c>
      <c r="C36" s="112"/>
      <c r="D36" s="49" t="str">
        <f>IF(C35="n", IF(OR(C36="y",C36="n"),"","&lt;&lt; Enter 'y' or 'n'"),"")</f>
        <v/>
      </c>
    </row>
    <row r="37" spans="2:11" ht="15.75" customHeight="1" x14ac:dyDescent="0.3">
      <c r="B37" s="82" t="str">
        <f>IF(SUA_PayHeat="y","Heating SUA",IF(SUA_Pay2Util="y","Non-Heating SUA",IF(SUA_Pay1Util="y","Limited SUA",IF(SUA_PayPhoneOnly="y","Telephone SUA","Client pays No Utility costs"))))</f>
        <v>Client pays No Utility costs</v>
      </c>
      <c r="C37" s="53">
        <f>IF(HH_HomelessCode&gt;0, 0, IF(SUA_PayHeat="y",SUA_Heat,IF(SUA_Pay2Util="y",SUA_NonHeat,IF(SUA_Pay1Util="y",SUA_Ltd,IF(SUA_PayPhoneOnly="y",SUA_Tel,0)))))</f>
        <v>0</v>
      </c>
      <c r="D37" s="67" t="str">
        <f>IF(HH_Homeless="y", "  SUA is $0 because HH is homeless.", "")</f>
        <v/>
      </c>
    </row>
    <row r="38" spans="2:11" ht="13" x14ac:dyDescent="0.25">
      <c r="B38" s="14" t="s">
        <v>46</v>
      </c>
      <c r="C38" s="93"/>
      <c r="D38" s="68" t="str">
        <f>IF(XS_MonthlyRentMortg&gt;0, IF(HH_HomelessCode&gt;0, "  Note: Homeless, yet rent/mortgage is &gt; $0", ""), "")</f>
        <v/>
      </c>
    </row>
    <row r="39" spans="2:11" ht="13" x14ac:dyDescent="0.25">
      <c r="B39" s="14" t="s">
        <v>47</v>
      </c>
      <c r="C39" s="25"/>
    </row>
    <row r="40" spans="2:11" ht="12.75" customHeight="1" thickBot="1" x14ac:dyDescent="0.3">
      <c r="B40" s="14" t="s">
        <v>48</v>
      </c>
      <c r="C40" s="35"/>
    </row>
    <row r="41" spans="2:11" ht="12.75" customHeight="1" thickTop="1" x14ac:dyDescent="0.25">
      <c r="B41" s="15" t="s">
        <v>49</v>
      </c>
      <c r="C41" s="94">
        <f>(SUA+XS_MonthlyRentMortg+XS_MonthlyFire+XS_MonthlyPropertyTax)</f>
        <v>0</v>
      </c>
    </row>
    <row r="42" spans="2:11" ht="13" x14ac:dyDescent="0.25">
      <c r="B42" s="15" t="s">
        <v>50</v>
      </c>
      <c r="C42" s="31" t="e">
        <f>+Total_Adjusted_Income*0.5</f>
        <v>#VALUE!</v>
      </c>
    </row>
    <row r="43" spans="2:11" ht="13" x14ac:dyDescent="0.25">
      <c r="B43" s="15" t="s">
        <v>51</v>
      </c>
      <c r="C43" s="31" t="e">
        <f>(+Total_Unadj_ShelterCosts - Total_Adj_Income_HALF_OF)</f>
        <v>#VALUE!</v>
      </c>
      <c r="D43" s="80" t="e">
        <f>IF(XS_ShelterCosts_Adj&lt;0,"Negative numbers are treated as 0", "")</f>
        <v>#VALUE!</v>
      </c>
    </row>
    <row r="44" spans="2:11" ht="13.5" thickBot="1" x14ac:dyDescent="0.3">
      <c r="B44" s="18" t="s">
        <v>52</v>
      </c>
      <c r="C44" s="65" t="e">
        <f>VLOOKUP(HH_Status,XS_ShelterDedTable,2,TRUE)</f>
        <v>#VALUE!</v>
      </c>
      <c r="D44" s="80" t="e">
        <f>IF(XS_ShelterCosts_Adj&lt;0,"to calculate the deduction.", "")</f>
        <v>#VALUE!</v>
      </c>
    </row>
    <row r="45" spans="2:11" ht="16" customHeight="1" x14ac:dyDescent="0.25">
      <c r="C45" s="90" t="str">
        <f>IF( HH_Total&gt;0, VLOOKUP(HH_Status,XS_ShelterTable, 2, TRUE), "")</f>
        <v/>
      </c>
      <c r="D45" s="61"/>
    </row>
    <row r="46" spans="2:11" ht="16" customHeight="1" thickBot="1" x14ac:dyDescent="0.3">
      <c r="B46" s="91"/>
      <c r="C46" s="90" t="str">
        <f>IF( HH_Total&gt;0, VLOOKUP(HH_Status,XS_ShelterTable, 3, TRUE), "")</f>
        <v/>
      </c>
    </row>
    <row r="47" spans="2:11" ht="18" customHeight="1" x14ac:dyDescent="0.3">
      <c r="B47" s="20" t="s">
        <v>53</v>
      </c>
      <c r="C47" s="19"/>
      <c r="D47" s="103" t="e">
        <f>IF((Total_Adjusted_Income) - (Total_XS_Shelter_Deduction)&lt;0, " This is negative because the XS shelter ","")</f>
        <v>#VALUE!</v>
      </c>
    </row>
    <row r="48" spans="2:11" ht="13" x14ac:dyDescent="0.25">
      <c r="B48" s="15" t="s">
        <v>54</v>
      </c>
      <c r="C48" s="31" t="e">
        <f>(Total_Adjusted_Income) - (Total_XS_Shelter_Deduction)</f>
        <v>#VALUE!</v>
      </c>
      <c r="D48" s="80" t="e">
        <f>IF((Total_Adjusted_Income) - (Total_XS_Shelter_Deduction)&lt;0, "   &lt; deduction is larger than the HH income.","")</f>
        <v>#VALUE!</v>
      </c>
      <c r="J48" t="e">
        <f>MAX(0,(Total_MaxMonthly_HHBenefit - Total_ThirdofTotalNetIncome))</f>
        <v>#VALUE!</v>
      </c>
      <c r="K48" t="s">
        <v>55</v>
      </c>
    </row>
    <row r="49" spans="2:11" ht="13" x14ac:dyDescent="0.25">
      <c r="B49" s="14" t="str">
        <f>IF(HH_Total&lt;2, CONCATENATE("  4.2  Maximum Monthly Benefit for a household with  ", HH_Total, "  member"), CONCATENATE("  4.2  Maximum Monthly Benefit for a household with  ", HH_Total, "  members"))</f>
        <v xml:space="preserve">  4.2  Maximum Monthly Benefit for a household with    member</v>
      </c>
      <c r="C49" s="31">
        <f>IF(HH_Total&lt;MaxBen_AddCount,VLOOKUP(HH_Total,Max_Benefit_Table,2,1),((MaxBen_AddCountDollar*(HH_Total-MaxBen_MaxCount))+MaxBen_MaxCountDollar))</f>
        <v>3</v>
      </c>
      <c r="J49" s="42" t="e">
        <f>IF(ProceedStop&gt;0, IF(HH_Total&lt;3, IF(BenefitCalc_Initial&lt;Min_Benefit,Min_Benefit, (Total_MaxMonthly_HHBenefit - Total_ThirdofTotalNetIncome)),MAX(0,(Total_MaxMonthly_HHBenefit - Total_ThirdofTotalNetIncome))),"")</f>
        <v>#N/A</v>
      </c>
      <c r="K49" t="s">
        <v>56</v>
      </c>
    </row>
    <row r="50" spans="2:11" ht="13.5" thickBot="1" x14ac:dyDescent="0.35">
      <c r="B50" s="15" t="s">
        <v>57</v>
      </c>
      <c r="C50" s="41" t="e">
        <f>MAX(Total_Net_Income*0.3,0)</f>
        <v>#VALUE!</v>
      </c>
      <c r="D50" s="74"/>
      <c r="J50" s="105"/>
    </row>
    <row r="51" spans="2:11" ht="16" thickBot="1" x14ac:dyDescent="0.4">
      <c r="B51" s="40" t="s">
        <v>58</v>
      </c>
      <c r="C51" s="51" t="e">
        <f>IF(ProceedStop&gt;0, IF(HH_Total&lt;3, IF(BenefitCalc_Initial&lt;Min_Benefit,Min_Benefit, (Total_MaxMonthly_HHBenefit - Total_ThirdofTotalNetIncome)),MAX(0,(Total_MaxMonthly_HHBenefit - Total_ThirdofTotalNetIncome))),"")</f>
        <v>#N/A</v>
      </c>
      <c r="D51" s="49" t="e">
        <f>IF(BenefitCalc_Final=Min_Benefit, "This is the Minimum Benefit.","")</f>
        <v>#N/A</v>
      </c>
    </row>
    <row r="52" spans="2:11" ht="18" customHeight="1" x14ac:dyDescent="0.3">
      <c r="B52" s="119" t="str">
        <f>IF(J28&gt;1,K28,"")</f>
        <v>Client qualifies for EXPEDITED SNAP !</v>
      </c>
      <c r="C52" s="118"/>
      <c r="D52" s="74"/>
      <c r="J52" s="54"/>
    </row>
    <row r="53" spans="2:11" x14ac:dyDescent="0.25">
      <c r="C53" s="105" t="s">
        <v>59</v>
      </c>
      <c r="E53" s="34"/>
      <c r="F53" s="34"/>
      <c r="G53" s="34"/>
      <c r="H53" s="34"/>
      <c r="J53" s="55"/>
    </row>
    <row r="54" spans="2:11" ht="13" x14ac:dyDescent="0.3">
      <c r="C54" s="111">
        <v>44835</v>
      </c>
      <c r="E54" s="34"/>
      <c r="F54" s="34"/>
      <c r="G54" s="34"/>
      <c r="H54" s="34"/>
    </row>
    <row r="55" spans="2:11" ht="13" x14ac:dyDescent="0.3">
      <c r="B55" s="45"/>
      <c r="C55" s="85"/>
      <c r="D55" s="42"/>
      <c r="E55" s="43"/>
      <c r="F55" s="43"/>
      <c r="G55" s="43"/>
      <c r="H55" s="43"/>
    </row>
    <row r="56" spans="2:11" ht="13" x14ac:dyDescent="0.3">
      <c r="B56" s="45"/>
      <c r="C56" s="86"/>
      <c r="D56" s="44"/>
      <c r="E56" s="43"/>
      <c r="F56" s="43"/>
      <c r="G56" s="43"/>
      <c r="H56" s="43"/>
      <c r="K56" s="62"/>
    </row>
    <row r="57" spans="2:11" ht="13" x14ac:dyDescent="0.3">
      <c r="B57" s="78"/>
      <c r="C57" s="87"/>
      <c r="D57" s="42"/>
      <c r="E57" s="43"/>
      <c r="F57" s="43"/>
      <c r="G57" s="43"/>
      <c r="H57" s="43"/>
      <c r="J57" s="54"/>
      <c r="K57" s="59"/>
    </row>
    <row r="58" spans="2:11" x14ac:dyDescent="0.25">
      <c r="B58" s="34"/>
      <c r="C58" s="34"/>
      <c r="D58" s="42"/>
      <c r="E58" s="43"/>
      <c r="F58" s="43"/>
      <c r="G58" s="43"/>
      <c r="H58" s="43"/>
      <c r="J58" s="54"/>
      <c r="K58" s="75"/>
    </row>
    <row r="59" spans="2:11" ht="13" x14ac:dyDescent="0.3">
      <c r="B59" s="44"/>
      <c r="C59" s="42"/>
      <c r="D59" s="42"/>
      <c r="E59" s="42"/>
      <c r="F59" s="42"/>
      <c r="G59" s="42"/>
      <c r="H59" s="42"/>
    </row>
    <row r="60" spans="2:11" x14ac:dyDescent="0.25">
      <c r="E60"/>
      <c r="F60"/>
      <c r="G60"/>
      <c r="H60"/>
      <c r="K60" s="54"/>
    </row>
    <row r="61" spans="2:11" x14ac:dyDescent="0.25">
      <c r="E61"/>
      <c r="F61"/>
      <c r="G61"/>
      <c r="H61"/>
    </row>
    <row r="62" spans="2:11" x14ac:dyDescent="0.25">
      <c r="E62"/>
      <c r="F62"/>
      <c r="G62"/>
      <c r="H62"/>
    </row>
    <row r="63" spans="2:11" x14ac:dyDescent="0.25">
      <c r="E63"/>
      <c r="F63"/>
      <c r="G63"/>
      <c r="H63"/>
    </row>
    <row r="64" spans="2:11" x14ac:dyDescent="0.25">
      <c r="E64"/>
      <c r="F64"/>
      <c r="G64"/>
      <c r="H64"/>
    </row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</sheetData>
  <sheetProtection selectLockedCells="1"/>
  <phoneticPr fontId="0" type="noConversion"/>
  <conditionalFormatting sqref="D9">
    <cfRule type="cellIs" dxfId="4" priority="1" stopIfTrue="1" operator="greaterThan">
      <formula>$C$9</formula>
    </cfRule>
  </conditionalFormatting>
  <conditionalFormatting sqref="C10">
    <cfRule type="expression" dxfId="3" priority="2" stopIfTrue="1">
      <formula>"if(b9=""n"", if(b24&gt;f9, ""Too many expenses""),""y"")"</formula>
    </cfRule>
  </conditionalFormatting>
  <dataValidations count="3">
    <dataValidation type="whole" allowBlank="1" showInputMessage="1" showErrorMessage="1" sqref="C9" xr:uid="{00000000-0002-0000-0000-000000000000}">
      <formula1>1</formula1>
      <formula2>99</formula2>
    </dataValidation>
    <dataValidation type="list" allowBlank="1" showDropDown="1" showInputMessage="1" showErrorMessage="1" sqref="C10:C12 C33:C36" xr:uid="{00000000-0002-0000-0000-000001000000}">
      <formula1>"y,n"</formula1>
    </dataValidation>
    <dataValidation type="whole" allowBlank="1" showInputMessage="1" showErrorMessage="1" sqref="C16 C19 C24 C26:C27 C38:C40" xr:uid="{00000000-0002-0000-0000-000002000000}">
      <formula1>0</formula1>
      <formula2>999999999</formula2>
    </dataValidation>
  </dataValidations>
  <hyperlinks>
    <hyperlink ref="B5" r:id="rId1" xr:uid="{00000000-0004-0000-0000-000000000000}"/>
    <hyperlink ref="Q13" location="HH_StatusTable" display="HH_StatusTable" xr:uid="{00000000-0004-0000-0000-000001000000}"/>
  </hyperlinks>
  <pageMargins left="0.5" right="0.5" top="0.5" bottom="0.5" header="0.5" footer="0.5"/>
  <pageSetup scale="94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2:AC207"/>
  <sheetViews>
    <sheetView topLeftCell="A120" workbookViewId="0">
      <selection activeCell="C100" sqref="C100"/>
    </sheetView>
  </sheetViews>
  <sheetFormatPr defaultRowHeight="12.5" x14ac:dyDescent="0.25"/>
  <cols>
    <col min="2" max="2" width="6" customWidth="1"/>
    <col min="3" max="3" width="26.1796875" customWidth="1"/>
    <col min="4" max="4" width="27.54296875" customWidth="1"/>
    <col min="5" max="5" width="27.81640625" customWidth="1"/>
    <col min="6" max="6" width="12.453125" customWidth="1"/>
    <col min="7" max="7" width="14.453125" customWidth="1"/>
    <col min="9" max="9" width="44.1796875" customWidth="1"/>
    <col min="12" max="12" width="17.81640625" bestFit="1" customWidth="1"/>
    <col min="13" max="13" width="21" customWidth="1"/>
    <col min="29" max="29" width="65.54296875" style="38" customWidth="1"/>
  </cols>
  <sheetData>
    <row r="2" spans="1:29" ht="13" x14ac:dyDescent="0.3">
      <c r="A2" s="24" t="s">
        <v>60</v>
      </c>
      <c r="B2" s="24"/>
      <c r="C2" s="24" t="s">
        <v>61</v>
      </c>
    </row>
    <row r="3" spans="1:29" ht="13" x14ac:dyDescent="0.3">
      <c r="A3" s="11"/>
      <c r="B3" s="11"/>
      <c r="C3" s="12"/>
    </row>
    <row r="4" spans="1:29" ht="13" x14ac:dyDescent="0.3">
      <c r="A4" s="11"/>
      <c r="B4" s="11"/>
      <c r="C4" s="12"/>
    </row>
    <row r="5" spans="1:29" ht="13.5" thickBot="1" x14ac:dyDescent="0.35">
      <c r="A5" s="69" t="s">
        <v>62</v>
      </c>
      <c r="B5" s="69"/>
      <c r="C5" s="71"/>
      <c r="F5" s="2"/>
    </row>
    <row r="7" spans="1:29" ht="13" x14ac:dyDescent="0.3">
      <c r="A7" s="1" t="s">
        <v>63</v>
      </c>
      <c r="B7" s="1"/>
    </row>
    <row r="8" spans="1:29" ht="13" x14ac:dyDescent="0.3">
      <c r="B8" s="1" t="s">
        <v>64</v>
      </c>
    </row>
    <row r="9" spans="1:29" ht="15.5" x14ac:dyDescent="0.35">
      <c r="C9" t="s">
        <v>65</v>
      </c>
    </row>
    <row r="11" spans="1:29" ht="13" x14ac:dyDescent="0.3">
      <c r="C11" t="s">
        <v>66</v>
      </c>
    </row>
    <row r="12" spans="1:29" ht="13" x14ac:dyDescent="0.3">
      <c r="C12" t="s">
        <v>67</v>
      </c>
    </row>
    <row r="13" spans="1:29" x14ac:dyDescent="0.25">
      <c r="C13" t="s">
        <v>68</v>
      </c>
    </row>
    <row r="14" spans="1:29" x14ac:dyDescent="0.25">
      <c r="C14" t="s">
        <v>69</v>
      </c>
    </row>
    <row r="15" spans="1:29" x14ac:dyDescent="0.25">
      <c r="AC15"/>
    </row>
    <row r="16" spans="1:29" x14ac:dyDescent="0.25">
      <c r="C16" t="s">
        <v>70</v>
      </c>
    </row>
    <row r="17" spans="1:6" x14ac:dyDescent="0.25">
      <c r="C17" t="s">
        <v>71</v>
      </c>
    </row>
    <row r="19" spans="1:6" ht="13" x14ac:dyDescent="0.3">
      <c r="B19" s="1" t="s">
        <v>72</v>
      </c>
    </row>
    <row r="20" spans="1:6" ht="13" x14ac:dyDescent="0.3">
      <c r="A20" s="1"/>
      <c r="B20" s="1"/>
      <c r="C20" t="s">
        <v>73</v>
      </c>
    </row>
    <row r="21" spans="1:6" ht="13" x14ac:dyDescent="0.3">
      <c r="A21" s="1"/>
      <c r="B21" s="1"/>
      <c r="F21" s="2"/>
    </row>
    <row r="22" spans="1:6" ht="13" x14ac:dyDescent="0.3">
      <c r="B22" s="1" t="s">
        <v>74</v>
      </c>
    </row>
    <row r="23" spans="1:6" ht="13" x14ac:dyDescent="0.3">
      <c r="A23" s="1"/>
      <c r="B23" s="1"/>
      <c r="C23" t="s">
        <v>75</v>
      </c>
    </row>
    <row r="24" spans="1:6" ht="13" x14ac:dyDescent="0.3">
      <c r="A24" s="1"/>
      <c r="B24" s="1"/>
      <c r="C24" t="s">
        <v>76</v>
      </c>
      <c r="D24" s="2" t="s">
        <v>77</v>
      </c>
    </row>
    <row r="25" spans="1:6" ht="13" x14ac:dyDescent="0.3">
      <c r="A25" s="1"/>
      <c r="B25" s="1"/>
    </row>
    <row r="26" spans="1:6" ht="13" x14ac:dyDescent="0.3">
      <c r="B26" s="1" t="s">
        <v>78</v>
      </c>
    </row>
    <row r="27" spans="1:6" ht="13" x14ac:dyDescent="0.3">
      <c r="A27" s="1"/>
      <c r="B27" s="1"/>
      <c r="C27" t="s">
        <v>79</v>
      </c>
    </row>
    <row r="28" spans="1:6" ht="13" x14ac:dyDescent="0.3">
      <c r="A28" s="1"/>
      <c r="B28" s="1"/>
      <c r="C28" t="s">
        <v>80</v>
      </c>
    </row>
    <row r="29" spans="1:6" ht="13" x14ac:dyDescent="0.3">
      <c r="A29" s="1"/>
      <c r="B29" s="1"/>
      <c r="C29" t="s">
        <v>81</v>
      </c>
    </row>
    <row r="30" spans="1:6" ht="13" x14ac:dyDescent="0.3">
      <c r="A30" s="1"/>
      <c r="B30" s="1"/>
      <c r="C30" t="s">
        <v>82</v>
      </c>
    </row>
    <row r="31" spans="1:6" ht="13" x14ac:dyDescent="0.3">
      <c r="A31" s="1"/>
      <c r="B31" s="1"/>
    </row>
    <row r="32" spans="1:6" ht="13" x14ac:dyDescent="0.3">
      <c r="A32" s="1"/>
      <c r="B32" s="1"/>
    </row>
    <row r="33" spans="1:6" ht="13.5" thickBot="1" x14ac:dyDescent="0.35">
      <c r="A33" s="69" t="s">
        <v>83</v>
      </c>
      <c r="B33" s="69"/>
      <c r="C33" s="70"/>
    </row>
    <row r="34" spans="1:6" ht="13" x14ac:dyDescent="0.3">
      <c r="A34" s="11"/>
      <c r="B34" s="11"/>
      <c r="C34" s="12"/>
    </row>
    <row r="35" spans="1:6" ht="13" x14ac:dyDescent="0.3">
      <c r="A35" s="1" t="s">
        <v>84</v>
      </c>
      <c r="B35" s="1"/>
    </row>
    <row r="36" spans="1:6" ht="13" x14ac:dyDescent="0.3">
      <c r="A36" s="1"/>
      <c r="B36" s="1"/>
      <c r="C36" t="s">
        <v>85</v>
      </c>
    </row>
    <row r="37" spans="1:6" ht="13" x14ac:dyDescent="0.3">
      <c r="A37" s="1"/>
      <c r="B37" s="1"/>
      <c r="C37" t="s">
        <v>86</v>
      </c>
    </row>
    <row r="38" spans="1:6" ht="13" x14ac:dyDescent="0.3">
      <c r="A38" s="1"/>
      <c r="B38" s="1"/>
      <c r="C38" t="s">
        <v>87</v>
      </c>
    </row>
    <row r="39" spans="1:6" ht="13" x14ac:dyDescent="0.3">
      <c r="A39" s="1"/>
      <c r="B39" s="1"/>
      <c r="F39" s="2"/>
    </row>
    <row r="40" spans="1:6" ht="13" x14ac:dyDescent="0.3">
      <c r="A40" s="1" t="s">
        <v>88</v>
      </c>
      <c r="B40" s="1"/>
    </row>
    <row r="42" spans="1:6" ht="13" x14ac:dyDescent="0.3">
      <c r="B42" t="s">
        <v>89</v>
      </c>
      <c r="C42" t="s">
        <v>90</v>
      </c>
    </row>
    <row r="43" spans="1:6" ht="13" x14ac:dyDescent="0.3">
      <c r="B43" t="s">
        <v>89</v>
      </c>
      <c r="C43" t="s">
        <v>91</v>
      </c>
    </row>
    <row r="45" spans="1:6" ht="13" x14ac:dyDescent="0.3">
      <c r="A45" s="1" t="s">
        <v>92</v>
      </c>
      <c r="B45" s="1"/>
      <c r="C45" s="12"/>
    </row>
    <row r="46" spans="1:6" ht="13" x14ac:dyDescent="0.3">
      <c r="A46" s="1"/>
      <c r="B46" s="1"/>
      <c r="C46" s="22" t="s">
        <v>93</v>
      </c>
    </row>
    <row r="47" spans="1:6" ht="13" x14ac:dyDescent="0.3">
      <c r="A47" s="1"/>
      <c r="B47" s="1"/>
      <c r="C47" s="22" t="s">
        <v>94</v>
      </c>
    </row>
    <row r="48" spans="1:6" ht="13" x14ac:dyDescent="0.3">
      <c r="A48" s="1"/>
      <c r="B48" s="1"/>
      <c r="C48" s="22" t="s">
        <v>95</v>
      </c>
    </row>
    <row r="49" spans="1:9" ht="13" x14ac:dyDescent="0.3">
      <c r="A49" s="11"/>
      <c r="B49" s="11"/>
      <c r="C49" s="4" t="s">
        <v>96</v>
      </c>
      <c r="D49" s="4" t="s">
        <v>97</v>
      </c>
    </row>
    <row r="50" spans="1:9" ht="13" x14ac:dyDescent="0.3">
      <c r="A50" s="11"/>
      <c r="B50" s="11"/>
      <c r="C50" s="4" t="s">
        <v>98</v>
      </c>
      <c r="D50" s="4" t="s">
        <v>99</v>
      </c>
      <c r="E50" s="22" t="s">
        <v>100</v>
      </c>
    </row>
    <row r="51" spans="1:9" ht="13" x14ac:dyDescent="0.3">
      <c r="A51" s="11"/>
      <c r="B51" s="11"/>
      <c r="C51" s="3">
        <v>1</v>
      </c>
      <c r="D51" s="10" t="e">
        <f>Data!#REF!</f>
        <v>#REF!</v>
      </c>
    </row>
    <row r="52" spans="1:9" ht="13" x14ac:dyDescent="0.3">
      <c r="A52" s="11"/>
      <c r="B52" s="11"/>
      <c r="C52" s="3">
        <v>2</v>
      </c>
      <c r="D52" s="10" t="e">
        <f>Data!#REF!</f>
        <v>#REF!</v>
      </c>
    </row>
    <row r="53" spans="1:9" ht="13" x14ac:dyDescent="0.3">
      <c r="A53" s="11"/>
      <c r="B53" s="11"/>
      <c r="C53" s="3">
        <v>3</v>
      </c>
      <c r="D53" s="10" t="e">
        <f>Data!#REF!</f>
        <v>#REF!</v>
      </c>
    </row>
    <row r="54" spans="1:9" ht="13" x14ac:dyDescent="0.3">
      <c r="A54" s="11"/>
      <c r="B54" s="11"/>
      <c r="C54" s="3">
        <v>4</v>
      </c>
      <c r="D54" s="10" t="e">
        <f>Data!#REF!</f>
        <v>#REF!</v>
      </c>
    </row>
    <row r="55" spans="1:9" ht="13" x14ac:dyDescent="0.3">
      <c r="A55" s="11"/>
      <c r="B55" s="11"/>
      <c r="C55" s="3">
        <v>5</v>
      </c>
      <c r="D55" s="10" t="e">
        <f>Data!#REF!</f>
        <v>#REF!</v>
      </c>
    </row>
    <row r="56" spans="1:9" ht="13" x14ac:dyDescent="0.3">
      <c r="A56" s="11"/>
      <c r="B56" s="11"/>
      <c r="C56" s="3">
        <v>6</v>
      </c>
      <c r="D56" s="10" t="e">
        <f>Data!#REF!</f>
        <v>#REF!</v>
      </c>
    </row>
    <row r="57" spans="1:9" ht="13" x14ac:dyDescent="0.3">
      <c r="A57" s="11"/>
      <c r="B57" s="11"/>
      <c r="C57" s="3">
        <v>7</v>
      </c>
      <c r="D57" s="10" t="e">
        <f>Data!#REF!</f>
        <v>#REF!</v>
      </c>
    </row>
    <row r="58" spans="1:9" ht="13" x14ac:dyDescent="0.3">
      <c r="A58" s="11"/>
      <c r="B58" s="11"/>
      <c r="C58" s="3">
        <v>8</v>
      </c>
      <c r="D58" s="10" t="e">
        <f>Data!#REF!</f>
        <v>#REF!</v>
      </c>
    </row>
    <row r="59" spans="1:9" ht="13" x14ac:dyDescent="0.3">
      <c r="A59" s="11"/>
      <c r="B59" s="11"/>
      <c r="C59" s="3">
        <v>9</v>
      </c>
      <c r="D59" s="10" t="e">
        <f>Data!#REF!</f>
        <v>#REF!</v>
      </c>
    </row>
    <row r="60" spans="1:9" ht="13" x14ac:dyDescent="0.3">
      <c r="A60" s="11"/>
      <c r="B60" s="11"/>
      <c r="C60" s="3">
        <v>10</v>
      </c>
      <c r="D60" s="10" t="e">
        <f>Data!#REF!</f>
        <v>#REF!</v>
      </c>
    </row>
    <row r="61" spans="1:9" ht="13" x14ac:dyDescent="0.3">
      <c r="A61" s="11"/>
      <c r="B61" s="11"/>
      <c r="C61" s="3" t="s">
        <v>101</v>
      </c>
      <c r="D61" s="3" t="e">
        <f>Gross_Add_Dollar</f>
        <v>#REF!</v>
      </c>
    </row>
    <row r="62" spans="1:9" ht="13" x14ac:dyDescent="0.3">
      <c r="A62" s="11"/>
      <c r="B62" s="11"/>
      <c r="C62" s="12"/>
    </row>
    <row r="63" spans="1:9" ht="13" x14ac:dyDescent="0.3">
      <c r="A63" s="1" t="s">
        <v>102</v>
      </c>
      <c r="B63" s="1"/>
      <c r="H63" s="1"/>
    </row>
    <row r="64" spans="1:9" ht="13" x14ac:dyDescent="0.3">
      <c r="C64" s="4" t="s">
        <v>103</v>
      </c>
      <c r="D64" s="4" t="s">
        <v>104</v>
      </c>
      <c r="E64" s="4" t="s">
        <v>105</v>
      </c>
      <c r="G64" s="4"/>
      <c r="H64" s="1"/>
      <c r="I64" s="1"/>
    </row>
    <row r="65" spans="1:9" ht="13" x14ac:dyDescent="0.3">
      <c r="C65" s="4" t="s">
        <v>106</v>
      </c>
      <c r="D65" s="4" t="s">
        <v>107</v>
      </c>
      <c r="E65" s="4" t="s">
        <v>108</v>
      </c>
      <c r="G65" s="4"/>
      <c r="I65" s="8"/>
    </row>
    <row r="66" spans="1:9" x14ac:dyDescent="0.25">
      <c r="C66" s="3">
        <v>1</v>
      </c>
      <c r="D66" s="10">
        <f>Data!C55</f>
        <v>281</v>
      </c>
      <c r="E66" s="10">
        <f>Data!C83</f>
        <v>193</v>
      </c>
      <c r="F66" s="3"/>
      <c r="G66" s="3"/>
      <c r="I66" s="8"/>
    </row>
    <row r="67" spans="1:9" x14ac:dyDescent="0.25">
      <c r="C67" s="3">
        <v>2</v>
      </c>
      <c r="D67" s="10">
        <f>Data!C56</f>
        <v>516</v>
      </c>
      <c r="E67" s="10">
        <f>Data!C84</f>
        <v>193</v>
      </c>
      <c r="F67" s="3"/>
      <c r="G67" s="3"/>
      <c r="I67" s="8"/>
    </row>
    <row r="68" spans="1:9" x14ac:dyDescent="0.25">
      <c r="C68" s="3">
        <v>3</v>
      </c>
      <c r="D68" s="10">
        <f>Data!C57</f>
        <v>740</v>
      </c>
      <c r="E68" s="10">
        <f>Data!C85</f>
        <v>193</v>
      </c>
      <c r="F68" s="3"/>
      <c r="G68" s="3"/>
      <c r="I68" s="8"/>
    </row>
    <row r="69" spans="1:9" x14ac:dyDescent="0.25">
      <c r="C69" s="3">
        <v>4</v>
      </c>
      <c r="D69" s="10">
        <f>Data!C58</f>
        <v>939</v>
      </c>
      <c r="E69" s="10">
        <f>Data!C86</f>
        <v>193</v>
      </c>
      <c r="F69" s="3"/>
      <c r="G69" s="3"/>
      <c r="I69" s="8"/>
    </row>
    <row r="70" spans="1:9" x14ac:dyDescent="0.25">
      <c r="C70" s="3">
        <v>5</v>
      </c>
      <c r="D70" s="10">
        <f>Data!C59</f>
        <v>1116</v>
      </c>
      <c r="E70" s="10">
        <f>Data!C87</f>
        <v>225</v>
      </c>
      <c r="F70" s="3"/>
      <c r="G70" s="3"/>
      <c r="H70" s="7"/>
      <c r="I70" s="8"/>
    </row>
    <row r="71" spans="1:9" x14ac:dyDescent="0.25">
      <c r="C71" s="3">
        <v>6</v>
      </c>
      <c r="D71" s="10">
        <f>Data!C60</f>
        <v>1339</v>
      </c>
      <c r="E71" s="10">
        <f>Data!C88</f>
        <v>258</v>
      </c>
      <c r="F71" s="3"/>
      <c r="G71" s="3"/>
    </row>
    <row r="72" spans="1:9" x14ac:dyDescent="0.25">
      <c r="C72" s="3">
        <v>7</v>
      </c>
      <c r="D72" s="10">
        <f>Data!C61</f>
        <v>1480</v>
      </c>
      <c r="E72" s="10">
        <f>Data!C88</f>
        <v>258</v>
      </c>
      <c r="F72" s="3"/>
      <c r="G72" s="3"/>
    </row>
    <row r="73" spans="1:9" x14ac:dyDescent="0.25">
      <c r="C73" s="3">
        <v>8</v>
      </c>
      <c r="D73" s="10">
        <f>Data!C62</f>
        <v>1691</v>
      </c>
      <c r="E73" s="10">
        <f>Data!C88</f>
        <v>258</v>
      </c>
      <c r="F73" s="3"/>
      <c r="G73" s="3"/>
    </row>
    <row r="74" spans="1:9" x14ac:dyDescent="0.25">
      <c r="C74" s="3">
        <v>9</v>
      </c>
      <c r="D74" s="10">
        <f>Data!C63</f>
        <v>1902</v>
      </c>
      <c r="E74" s="10">
        <f>Data!C88</f>
        <v>258</v>
      </c>
      <c r="F74" s="3"/>
      <c r="G74" s="3"/>
    </row>
    <row r="75" spans="1:9" x14ac:dyDescent="0.25">
      <c r="C75" s="3">
        <v>10</v>
      </c>
      <c r="D75" s="10">
        <f>Data!C64</f>
        <v>2113</v>
      </c>
      <c r="E75" s="10">
        <f>Data!C88</f>
        <v>258</v>
      </c>
      <c r="F75" s="3"/>
      <c r="G75" s="3"/>
    </row>
    <row r="76" spans="1:9" x14ac:dyDescent="0.25">
      <c r="C76" s="3" t="s">
        <v>101</v>
      </c>
      <c r="D76" s="10">
        <f>MaxBen_AddCountDollar</f>
        <v>211</v>
      </c>
      <c r="E76" s="3">
        <f>Data!C88</f>
        <v>258</v>
      </c>
      <c r="F76" s="3"/>
      <c r="G76" s="3"/>
    </row>
    <row r="77" spans="1:9" x14ac:dyDescent="0.25">
      <c r="C77" s="3"/>
      <c r="D77" s="10"/>
      <c r="E77" s="3"/>
      <c r="F77" s="3"/>
      <c r="G77" s="3"/>
    </row>
    <row r="78" spans="1:9" ht="13" x14ac:dyDescent="0.3">
      <c r="A78" s="1" t="s">
        <v>109</v>
      </c>
      <c r="C78" s="3"/>
      <c r="D78" s="10"/>
      <c r="E78" s="3"/>
      <c r="F78" s="3"/>
      <c r="G78" s="3"/>
    </row>
    <row r="79" spans="1:9" x14ac:dyDescent="0.25">
      <c r="C79" s="46" t="s">
        <v>110</v>
      </c>
      <c r="D79" s="10"/>
      <c r="E79" s="3"/>
      <c r="F79" s="3"/>
      <c r="G79" s="3"/>
    </row>
    <row r="80" spans="1:9" x14ac:dyDescent="0.25">
      <c r="C80" s="46" t="s">
        <v>111</v>
      </c>
      <c r="D80" s="10"/>
      <c r="E80" s="3"/>
      <c r="F80" s="3"/>
      <c r="G80" s="3"/>
    </row>
    <row r="81" spans="1:7" x14ac:dyDescent="0.25">
      <c r="C81" s="101" t="s">
        <v>112</v>
      </c>
      <c r="D81" s="10"/>
      <c r="E81" s="3"/>
      <c r="F81" s="3"/>
      <c r="G81" s="3"/>
    </row>
    <row r="82" spans="1:7" x14ac:dyDescent="0.25">
      <c r="C82" s="46" t="s">
        <v>113</v>
      </c>
      <c r="D82" s="10"/>
      <c r="E82" s="3"/>
      <c r="F82" s="3"/>
      <c r="G82" s="3"/>
    </row>
    <row r="83" spans="1:7" x14ac:dyDescent="0.25">
      <c r="C83" s="46" t="s">
        <v>114</v>
      </c>
      <c r="D83" s="10"/>
      <c r="E83" s="3"/>
      <c r="F83" s="3"/>
      <c r="G83" s="3"/>
    </row>
    <row r="84" spans="1:7" x14ac:dyDescent="0.25">
      <c r="C84" s="46" t="s">
        <v>115</v>
      </c>
      <c r="D84" s="10"/>
      <c r="E84" s="3"/>
      <c r="F84" s="3"/>
      <c r="G84" s="3"/>
    </row>
    <row r="85" spans="1:7" x14ac:dyDescent="0.25">
      <c r="C85" s="46" t="s">
        <v>116</v>
      </c>
      <c r="D85" s="10"/>
      <c r="E85" s="3"/>
      <c r="F85" s="3"/>
      <c r="G85" s="3"/>
    </row>
    <row r="87" spans="1:7" ht="13" x14ac:dyDescent="0.3">
      <c r="A87" s="1" t="s">
        <v>117</v>
      </c>
      <c r="B87" s="1"/>
    </row>
    <row r="88" spans="1:7" ht="13" x14ac:dyDescent="0.3">
      <c r="A88" s="1"/>
      <c r="B88" s="1" t="s">
        <v>118</v>
      </c>
    </row>
    <row r="89" spans="1:7" x14ac:dyDescent="0.25">
      <c r="C89" t="s">
        <v>119</v>
      </c>
    </row>
    <row r="91" spans="1:7" x14ac:dyDescent="0.25">
      <c r="F91" s="2"/>
    </row>
    <row r="92" spans="1:7" ht="13.5" thickBot="1" x14ac:dyDescent="0.35">
      <c r="A92" s="69" t="s">
        <v>120</v>
      </c>
      <c r="B92" s="69"/>
      <c r="C92" s="71"/>
      <c r="F92" s="2"/>
    </row>
    <row r="94" spans="1:7" ht="13" x14ac:dyDescent="0.3">
      <c r="A94" s="1" t="s">
        <v>121</v>
      </c>
      <c r="B94" s="1"/>
    </row>
    <row r="95" spans="1:7" ht="13" x14ac:dyDescent="0.3">
      <c r="A95" s="1"/>
      <c r="B95" s="1"/>
      <c r="C95" t="s">
        <v>122</v>
      </c>
    </row>
    <row r="96" spans="1:7" ht="13" x14ac:dyDescent="0.3">
      <c r="A96" s="1"/>
      <c r="B96" s="1"/>
      <c r="C96" t="s">
        <v>123</v>
      </c>
    </row>
    <row r="97" spans="1:5" ht="13" x14ac:dyDescent="0.3">
      <c r="A97" s="1"/>
      <c r="B97" s="1"/>
      <c r="C97" t="s">
        <v>124</v>
      </c>
    </row>
    <row r="98" spans="1:5" ht="13" x14ac:dyDescent="0.3">
      <c r="A98" s="1"/>
      <c r="B98" s="1"/>
      <c r="D98" t="s">
        <v>125</v>
      </c>
    </row>
    <row r="99" spans="1:5" ht="13" x14ac:dyDescent="0.3">
      <c r="A99" s="1"/>
      <c r="B99" s="1"/>
    </row>
    <row r="100" spans="1:5" ht="13" x14ac:dyDescent="0.3">
      <c r="A100" s="1"/>
      <c r="B100" s="1"/>
      <c r="C100" s="47">
        <f>Data!C6</f>
        <v>681</v>
      </c>
      <c r="D100" t="s">
        <v>126</v>
      </c>
      <c r="E100" s="22" t="s">
        <v>127</v>
      </c>
    </row>
    <row r="101" spans="1:5" ht="13" x14ac:dyDescent="0.3">
      <c r="A101" s="1"/>
      <c r="B101" s="1"/>
      <c r="C101" s="47">
        <f>Data!C7</f>
        <v>358</v>
      </c>
      <c r="D101" t="s">
        <v>128</v>
      </c>
      <c r="E101" s="22" t="s">
        <v>129</v>
      </c>
    </row>
    <row r="102" spans="1:5" ht="13" x14ac:dyDescent="0.3">
      <c r="A102" s="1"/>
      <c r="B102" s="1"/>
      <c r="C102" s="47">
        <f>Data!C8</f>
        <v>66</v>
      </c>
      <c r="D102" t="s">
        <v>130</v>
      </c>
      <c r="E102" s="22" t="s">
        <v>131</v>
      </c>
    </row>
    <row r="103" spans="1:5" ht="13" x14ac:dyDescent="0.3">
      <c r="A103" s="1"/>
      <c r="B103" s="1"/>
      <c r="C103" s="47">
        <f>Data!C9</f>
        <v>34</v>
      </c>
      <c r="D103" t="s">
        <v>132</v>
      </c>
      <c r="E103" s="22" t="s">
        <v>133</v>
      </c>
    </row>
    <row r="104" spans="1:5" ht="13" x14ac:dyDescent="0.3">
      <c r="A104" s="1"/>
      <c r="B104" s="1"/>
      <c r="D104" s="22"/>
    </row>
    <row r="105" spans="1:5" ht="13" x14ac:dyDescent="0.3">
      <c r="A105" s="1" t="s">
        <v>134</v>
      </c>
      <c r="B105" s="1"/>
    </row>
    <row r="106" spans="1:5" ht="13" x14ac:dyDescent="0.3">
      <c r="A106" s="1"/>
      <c r="B106" s="1"/>
    </row>
    <row r="107" spans="1:5" ht="13" x14ac:dyDescent="0.3">
      <c r="B107" s="73" t="s">
        <v>135</v>
      </c>
    </row>
    <row r="108" spans="1:5" ht="13" x14ac:dyDescent="0.3">
      <c r="B108" s="72"/>
      <c r="C108" t="str">
        <f>CONCATENATE("The Excess Shelter Deduction is capped at  $", XS_Shelter_Max)</f>
        <v>The Excess Shelter Deduction is capped at  $624</v>
      </c>
    </row>
    <row r="109" spans="1:5" ht="13" x14ac:dyDescent="0.3">
      <c r="B109" s="72"/>
    </row>
    <row r="110" spans="1:5" ht="13" x14ac:dyDescent="0.3">
      <c r="A110" s="1"/>
      <c r="B110" s="73" t="s">
        <v>136</v>
      </c>
    </row>
    <row r="111" spans="1:5" ht="13" x14ac:dyDescent="0.3">
      <c r="A111" s="1"/>
      <c r="B111" s="72"/>
      <c r="C111" t="str">
        <f>CONCATENATE("If the Household is Homeless, they may deduct the larger of the calculated Excess Shelter Costs or  $", XS_Shelter_Homeless)</f>
        <v>If the Household is Homeless, they may deduct the larger of the calculated Excess Shelter Costs or  $167</v>
      </c>
    </row>
    <row r="112" spans="1:5" ht="13" x14ac:dyDescent="0.3">
      <c r="A112" s="1"/>
      <c r="B112" s="72"/>
      <c r="C112" t="str">
        <f>CONCATENATE("The Excess Shelter Deduction is capped at  $", XS_Shelter_Max)</f>
        <v>The Excess Shelter Deduction is capped at  $624</v>
      </c>
    </row>
    <row r="113" spans="1:6" ht="13" x14ac:dyDescent="0.3">
      <c r="A113" s="1"/>
      <c r="B113" s="72"/>
    </row>
    <row r="114" spans="1:6" ht="13" x14ac:dyDescent="0.3">
      <c r="A114" s="1"/>
      <c r="B114" s="73" t="s">
        <v>137</v>
      </c>
    </row>
    <row r="115" spans="1:6" ht="13" x14ac:dyDescent="0.3">
      <c r="A115" s="1"/>
      <c r="B115" s="1"/>
      <c r="C115" t="s">
        <v>138</v>
      </c>
    </row>
    <row r="116" spans="1:6" x14ac:dyDescent="0.25">
      <c r="C116" t="s">
        <v>139</v>
      </c>
      <c r="F116" s="2"/>
    </row>
    <row r="117" spans="1:6" x14ac:dyDescent="0.25">
      <c r="C117" t="str">
        <f>CONCATENATE("Although there is no cap, there also is no 'floor' of $", XS_Shelter_Homeless, " as there is with the Homeless.")</f>
        <v>Although there is no cap, there also is no 'floor' of $167 as there is with the Homeless.</v>
      </c>
    </row>
    <row r="120" spans="1:6" ht="13.5" thickBot="1" x14ac:dyDescent="0.35">
      <c r="A120" s="69" t="s">
        <v>140</v>
      </c>
      <c r="B120" s="69"/>
      <c r="C120" s="71"/>
      <c r="F120" s="2"/>
    </row>
    <row r="122" spans="1:6" ht="13" x14ac:dyDescent="0.3">
      <c r="B122" s="1" t="s">
        <v>141</v>
      </c>
    </row>
    <row r="123" spans="1:6" x14ac:dyDescent="0.25">
      <c r="C123" t="str">
        <f>CONCATENATE("Under some conditions, an otherwise ineligible HH may be eligible for a Minimum Benefit of $",Min_Benefit)</f>
        <v>Under some conditions, an otherwise ineligible HH may be eligible for a Minimum Benefit of $23</v>
      </c>
    </row>
    <row r="124" spans="1:6" x14ac:dyDescent="0.25">
      <c r="C124" t="s">
        <v>142</v>
      </c>
    </row>
    <row r="126" spans="1:6" x14ac:dyDescent="0.25">
      <c r="B126" s="3">
        <v>1</v>
      </c>
      <c r="C126" t="s">
        <v>143</v>
      </c>
    </row>
    <row r="127" spans="1:6" ht="13" x14ac:dyDescent="0.3">
      <c r="B127" s="3"/>
      <c r="C127" s="1" t="s">
        <v>144</v>
      </c>
    </row>
    <row r="128" spans="1:6" x14ac:dyDescent="0.25">
      <c r="B128" s="3">
        <v>2</v>
      </c>
      <c r="C128" t="s">
        <v>145</v>
      </c>
    </row>
    <row r="129" spans="3:3" ht="13" x14ac:dyDescent="0.3">
      <c r="C129" s="1"/>
    </row>
    <row r="130" spans="3:3" ht="13" x14ac:dyDescent="0.3">
      <c r="C130" t="s">
        <v>146</v>
      </c>
    </row>
    <row r="132" spans="3:3" x14ac:dyDescent="0.25">
      <c r="C132" t="str">
        <f>CONCATENATE("The minimum benefit is for households of 1 or 2 people -- they can never get less than $",  Min_Benefit, " if they're eligible at all.")</f>
        <v>The minimum benefit is for households of 1 or 2 people -- they can never get less than $23 if they're eligible at all.</v>
      </c>
    </row>
    <row r="133" spans="3:3" x14ac:dyDescent="0.25">
      <c r="C133" t="s">
        <v>147</v>
      </c>
    </row>
    <row r="166" spans="5:5" x14ac:dyDescent="0.25">
      <c r="E166" s="3"/>
    </row>
    <row r="167" spans="5:5" x14ac:dyDescent="0.25">
      <c r="E167" s="3"/>
    </row>
    <row r="204" spans="29:29" x14ac:dyDescent="0.25">
      <c r="AC204"/>
    </row>
    <row r="205" spans="29:29" x14ac:dyDescent="0.25">
      <c r="AC205"/>
    </row>
    <row r="206" spans="29:29" x14ac:dyDescent="0.25">
      <c r="AC206"/>
    </row>
    <row r="207" spans="29:29" x14ac:dyDescent="0.25">
      <c r="AC207"/>
    </row>
  </sheetData>
  <sheetProtection selectLockedCells="1"/>
  <phoneticPr fontId="5" type="noConversion"/>
  <hyperlinks>
    <hyperlink ref="D24" r:id="rId1" location="P114_2986" display="Click here for the on-line reg." xr:uid="{00000000-0004-0000-0100-000000000000}"/>
    <hyperlink ref="C81" r:id="rId2" xr:uid="{00000000-0004-0000-0100-000001000000}"/>
  </hyperlinks>
  <pageMargins left="0.75" right="0.75" top="1" bottom="1" header="0.5" footer="0.5"/>
  <pageSetup orientation="portrait" horizontalDpi="300" verticalDpi="300" r:id="rId3"/>
  <headerFooter alignWithMargins="0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G170"/>
  <sheetViews>
    <sheetView topLeftCell="A3" workbookViewId="0">
      <selection activeCell="B3" sqref="B3"/>
    </sheetView>
  </sheetViews>
  <sheetFormatPr defaultRowHeight="12.5" x14ac:dyDescent="0.25"/>
  <cols>
    <col min="1" max="1" width="9.1796875" style="107" customWidth="1"/>
    <col min="2" max="2" width="17.81640625" customWidth="1"/>
    <col min="3" max="3" width="11.81640625" customWidth="1"/>
    <col min="4" max="4" width="73.453125" customWidth="1"/>
    <col min="8" max="8" width="20.453125" customWidth="1"/>
    <col min="11" max="11" width="21.54296875" customWidth="1"/>
  </cols>
  <sheetData>
    <row r="1" spans="1:7" ht="13" x14ac:dyDescent="0.3">
      <c r="B1" s="24" t="s">
        <v>148</v>
      </c>
      <c r="C1" s="24" t="s">
        <v>149</v>
      </c>
    </row>
    <row r="2" spans="1:7" ht="13" x14ac:dyDescent="0.3">
      <c r="B2" s="24"/>
      <c r="C2" s="24" t="s">
        <v>150</v>
      </c>
    </row>
    <row r="3" spans="1:7" ht="13" x14ac:dyDescent="0.3">
      <c r="A3" s="108" t="s">
        <v>151</v>
      </c>
      <c r="B3" s="114" t="s">
        <v>152</v>
      </c>
      <c r="D3" s="24"/>
    </row>
    <row r="4" spans="1:7" ht="13" x14ac:dyDescent="0.3">
      <c r="A4" s="108"/>
      <c r="B4" s="106"/>
      <c r="D4" s="24"/>
    </row>
    <row r="5" spans="1:7" ht="13" x14ac:dyDescent="0.3">
      <c r="B5" s="1" t="s">
        <v>153</v>
      </c>
      <c r="F5" s="1"/>
    </row>
    <row r="6" spans="1:7" ht="62.15" customHeight="1" x14ac:dyDescent="0.25">
      <c r="A6" s="113">
        <v>44470</v>
      </c>
      <c r="B6" t="s">
        <v>126</v>
      </c>
      <c r="C6" s="21">
        <v>681</v>
      </c>
      <c r="D6" s="22" t="s">
        <v>127</v>
      </c>
    </row>
    <row r="7" spans="1:7" x14ac:dyDescent="0.25">
      <c r="A7" s="109">
        <v>44489</v>
      </c>
      <c r="B7" t="s">
        <v>128</v>
      </c>
      <c r="C7" s="21">
        <v>358</v>
      </c>
      <c r="D7" s="22" t="s">
        <v>129</v>
      </c>
    </row>
    <row r="8" spans="1:7" x14ac:dyDescent="0.25">
      <c r="A8" s="109">
        <v>44489</v>
      </c>
      <c r="B8" t="s">
        <v>130</v>
      </c>
      <c r="C8" s="21">
        <v>66</v>
      </c>
      <c r="D8" s="22" t="s">
        <v>131</v>
      </c>
    </row>
    <row r="9" spans="1:7" x14ac:dyDescent="0.25">
      <c r="A9" s="109"/>
      <c r="B9" t="s">
        <v>154</v>
      </c>
      <c r="C9" s="21">
        <v>34</v>
      </c>
      <c r="D9" s="22" t="s">
        <v>133</v>
      </c>
    </row>
    <row r="10" spans="1:7" x14ac:dyDescent="0.25">
      <c r="C10" s="21">
        <v>0</v>
      </c>
      <c r="D10" s="22" t="s">
        <v>155</v>
      </c>
    </row>
    <row r="11" spans="1:7" x14ac:dyDescent="0.25">
      <c r="C11" s="21"/>
    </row>
    <row r="12" spans="1:7" ht="13" x14ac:dyDescent="0.3">
      <c r="B12" s="1" t="s">
        <v>156</v>
      </c>
      <c r="C12" s="21"/>
    </row>
    <row r="13" spans="1:7" ht="13" x14ac:dyDescent="0.3">
      <c r="C13" s="78">
        <f>HH_Total</f>
        <v>0</v>
      </c>
      <c r="D13" t="s">
        <v>157</v>
      </c>
    </row>
    <row r="14" spans="1:7" x14ac:dyDescent="0.25">
      <c r="C14" s="77"/>
    </row>
    <row r="15" spans="1:7" ht="13.5" thickBot="1" x14ac:dyDescent="0.35">
      <c r="B15" s="1" t="s">
        <v>158</v>
      </c>
      <c r="D15" t="s">
        <v>159</v>
      </c>
      <c r="E15" s="42"/>
      <c r="G15" t="s">
        <v>160</v>
      </c>
    </row>
    <row r="16" spans="1:7" ht="16" thickBot="1" x14ac:dyDescent="0.3">
      <c r="A16" s="109">
        <v>44854</v>
      </c>
      <c r="B16" s="3">
        <v>1</v>
      </c>
      <c r="C16" s="123">
        <v>2266</v>
      </c>
    </row>
    <row r="17" spans="1:6" ht="16" thickBot="1" x14ac:dyDescent="0.3">
      <c r="A17" s="109"/>
      <c r="B17" s="3">
        <v>2</v>
      </c>
      <c r="C17" s="124">
        <v>3052</v>
      </c>
    </row>
    <row r="18" spans="1:6" ht="16" thickBot="1" x14ac:dyDescent="0.3">
      <c r="A18" s="109"/>
      <c r="B18" s="3">
        <v>3</v>
      </c>
      <c r="C18" s="124">
        <v>3840</v>
      </c>
    </row>
    <row r="19" spans="1:6" ht="16" thickBot="1" x14ac:dyDescent="0.3">
      <c r="A19" s="109"/>
      <c r="B19" s="3">
        <v>4</v>
      </c>
      <c r="C19" s="124">
        <v>4626</v>
      </c>
    </row>
    <row r="20" spans="1:6" ht="16" thickBot="1" x14ac:dyDescent="0.3">
      <c r="A20" s="109"/>
      <c r="B20" s="3">
        <v>5</v>
      </c>
      <c r="C20" s="124">
        <v>5412</v>
      </c>
    </row>
    <row r="21" spans="1:6" ht="16" thickBot="1" x14ac:dyDescent="0.3">
      <c r="A21" s="109"/>
      <c r="B21" s="3">
        <v>6</v>
      </c>
      <c r="C21" s="124">
        <v>6200</v>
      </c>
    </row>
    <row r="22" spans="1:6" ht="16" thickBot="1" x14ac:dyDescent="0.3">
      <c r="A22" s="109"/>
      <c r="B22" s="3">
        <v>7</v>
      </c>
      <c r="C22" s="124">
        <v>6986</v>
      </c>
    </row>
    <row r="23" spans="1:6" ht="16" thickBot="1" x14ac:dyDescent="0.3">
      <c r="A23" s="109"/>
      <c r="B23" s="3">
        <v>8</v>
      </c>
      <c r="C23" s="124">
        <v>7772</v>
      </c>
    </row>
    <row r="24" spans="1:6" ht="16" thickBot="1" x14ac:dyDescent="0.3">
      <c r="A24" s="109"/>
      <c r="B24" s="3">
        <v>9</v>
      </c>
      <c r="C24" s="124">
        <v>8560</v>
      </c>
    </row>
    <row r="25" spans="1:6" ht="16" thickBot="1" x14ac:dyDescent="0.3">
      <c r="A25" s="109"/>
      <c r="B25" s="3">
        <v>10</v>
      </c>
      <c r="C25" s="124">
        <v>9348</v>
      </c>
    </row>
    <row r="26" spans="1:6" ht="14.5" thickBot="1" x14ac:dyDescent="0.3">
      <c r="A26" s="109"/>
      <c r="B26" s="126" t="s">
        <v>161</v>
      </c>
      <c r="C26" s="125">
        <v>788</v>
      </c>
      <c r="D26" t="s">
        <v>162</v>
      </c>
    </row>
    <row r="28" spans="1:6" x14ac:dyDescent="0.25">
      <c r="D28" t="str">
        <f>CONCATENATE("How to calculate the Gross Income Limit for HH larger than ", Gross_Inc_CountMax)</f>
        <v>How to calculate the Gross Income Limit for HH larger than 10</v>
      </c>
      <c r="E28" t="e">
        <f>(Gross_Add_Dollar*(HH_Total-Gross_Inc_CountMax))+Gross_Inc_CountMaxDollar</f>
        <v>#REF!</v>
      </c>
      <c r="F28" t="s">
        <v>163</v>
      </c>
    </row>
    <row r="29" spans="1:6" x14ac:dyDescent="0.25">
      <c r="C29" s="54">
        <f>(HH_Total-MaxBen_MaxCount)</f>
        <v>-10</v>
      </c>
      <c r="D29" s="46" t="s">
        <v>164</v>
      </c>
      <c r="E29" t="e">
        <f>IF(HH_Total&lt;Gross_Add_Count, VLOOKUP(HH_Total,Gross_Income_Limit_Table,2,1), (Gross_Add_Dollar*(HH_Total-Gross_Inc_CountMax))+Gross_Inc_CountMaxDollar)</f>
        <v>#N/A</v>
      </c>
      <c r="F29" t="s">
        <v>165</v>
      </c>
    </row>
    <row r="30" spans="1:6" x14ac:dyDescent="0.25">
      <c r="C30" s="54" t="e">
        <f>Gross_Add_Dollar*(HH_Total-Gross_Inc_CountMax)</f>
        <v>#REF!</v>
      </c>
      <c r="D30" s="46" t="s">
        <v>166</v>
      </c>
      <c r="E30" t="s">
        <v>167</v>
      </c>
    </row>
    <row r="31" spans="1:6" x14ac:dyDescent="0.25">
      <c r="C31" s="54" t="e">
        <f>Gross_Inc_CountMaxDollar</f>
        <v>#REF!</v>
      </c>
      <c r="D31" s="46" t="s">
        <v>168</v>
      </c>
    </row>
    <row r="32" spans="1:6" ht="13" x14ac:dyDescent="0.3">
      <c r="B32" s="7" t="s">
        <v>169</v>
      </c>
      <c r="C32" s="44" t="e">
        <f>(Gross_Add_Dollar*(HH_Total-Gross_Inc_CountMax))+Gross_Inc_CountMaxDollar</f>
        <v>#REF!</v>
      </c>
      <c r="D32" s="46" t="s">
        <v>170</v>
      </c>
    </row>
    <row r="33" spans="1:7" ht="13" x14ac:dyDescent="0.3">
      <c r="C33" s="44"/>
      <c r="D33" s="46" t="str">
        <f>IF(HH_EldCode=0, "This number is used because this household has no Elderly/Disabled members.", "This number is not used because this HH does have Elderly/Disabled members.")</f>
        <v>This number is used because this household has no Elderly/Disabled members.</v>
      </c>
    </row>
    <row r="34" spans="1:7" x14ac:dyDescent="0.25">
      <c r="C34" s="54"/>
      <c r="D34" s="46"/>
    </row>
    <row r="35" spans="1:7" ht="13" x14ac:dyDescent="0.3">
      <c r="B35" s="1"/>
      <c r="C35" s="54"/>
      <c r="D35" s="46"/>
      <c r="G35" t="s">
        <v>160</v>
      </c>
    </row>
    <row r="36" spans="1:7" x14ac:dyDescent="0.25">
      <c r="A36" s="109"/>
      <c r="B36" s="3"/>
    </row>
    <row r="37" spans="1:7" x14ac:dyDescent="0.25">
      <c r="A37" s="109"/>
      <c r="B37" s="3"/>
    </row>
    <row r="38" spans="1:7" x14ac:dyDescent="0.25">
      <c r="A38" s="109"/>
      <c r="B38" s="3"/>
    </row>
    <row r="39" spans="1:7" x14ac:dyDescent="0.25">
      <c r="A39" s="109"/>
      <c r="B39" s="3"/>
    </row>
    <row r="40" spans="1:7" x14ac:dyDescent="0.25">
      <c r="A40" s="109"/>
      <c r="B40" s="3"/>
    </row>
    <row r="41" spans="1:7" x14ac:dyDescent="0.25">
      <c r="A41" s="109"/>
      <c r="B41" s="3"/>
    </row>
    <row r="42" spans="1:7" x14ac:dyDescent="0.25">
      <c r="A42" s="109"/>
      <c r="B42" s="3"/>
    </row>
    <row r="43" spans="1:7" x14ac:dyDescent="0.25">
      <c r="A43" s="109"/>
      <c r="B43" s="3"/>
    </row>
    <row r="44" spans="1:7" x14ac:dyDescent="0.25">
      <c r="A44" s="109"/>
      <c r="B44" s="3"/>
    </row>
    <row r="45" spans="1:7" x14ac:dyDescent="0.25">
      <c r="A45" s="109"/>
      <c r="B45" s="3"/>
    </row>
    <row r="46" spans="1:7" x14ac:dyDescent="0.25">
      <c r="A46" s="109"/>
      <c r="B46" s="3"/>
    </row>
    <row r="49" spans="1:5" x14ac:dyDescent="0.25">
      <c r="C49" s="54"/>
      <c r="D49" s="46"/>
    </row>
    <row r="50" spans="1:5" x14ac:dyDescent="0.25">
      <c r="C50" s="54"/>
      <c r="D50" s="46"/>
    </row>
    <row r="51" spans="1:5" x14ac:dyDescent="0.25">
      <c r="C51" s="54"/>
      <c r="D51" s="46"/>
    </row>
    <row r="52" spans="1:5" ht="13" x14ac:dyDescent="0.3">
      <c r="B52" s="7"/>
      <c r="C52" s="44"/>
      <c r="D52" s="46"/>
    </row>
    <row r="53" spans="1:5" x14ac:dyDescent="0.25">
      <c r="D53" s="46"/>
    </row>
    <row r="54" spans="1:5" ht="13.5" thickBot="1" x14ac:dyDescent="0.35">
      <c r="A54" s="109">
        <v>44835</v>
      </c>
      <c r="B54" s="1" t="s">
        <v>171</v>
      </c>
      <c r="D54" s="46"/>
    </row>
    <row r="55" spans="1:5" ht="16" thickBot="1" x14ac:dyDescent="0.3">
      <c r="B55">
        <v>1</v>
      </c>
      <c r="C55" s="123">
        <v>281</v>
      </c>
    </row>
    <row r="56" spans="1:5" ht="16" thickBot="1" x14ac:dyDescent="0.3">
      <c r="B56">
        <v>2</v>
      </c>
      <c r="C56" s="124">
        <v>516</v>
      </c>
    </row>
    <row r="57" spans="1:5" ht="16" thickBot="1" x14ac:dyDescent="0.3">
      <c r="B57">
        <v>3</v>
      </c>
      <c r="C57" s="124">
        <v>740</v>
      </c>
    </row>
    <row r="58" spans="1:5" ht="16" thickBot="1" x14ac:dyDescent="0.3">
      <c r="B58">
        <v>4</v>
      </c>
      <c r="C58" s="124">
        <v>939</v>
      </c>
    </row>
    <row r="59" spans="1:5" ht="16" thickBot="1" x14ac:dyDescent="0.3">
      <c r="B59">
        <v>5</v>
      </c>
      <c r="C59" s="124">
        <v>1116</v>
      </c>
    </row>
    <row r="60" spans="1:5" ht="16" thickBot="1" x14ac:dyDescent="0.3">
      <c r="B60">
        <v>6</v>
      </c>
      <c r="C60" s="124">
        <v>1339</v>
      </c>
      <c r="E60">
        <f>IF(HH_Total&lt;MaxBen_AddCount,VLOOKUP(HH_Total,Max_Benefit_Table,2,1),((MaxBen_AddCountDollar*(HH_Total-MaxBen_MaxCount))+MaxBen_MaxCountDollar))</f>
        <v>3</v>
      </c>
    </row>
    <row r="61" spans="1:5" ht="16" thickBot="1" x14ac:dyDescent="0.3">
      <c r="B61">
        <v>7</v>
      </c>
      <c r="C61" s="124">
        <v>1480</v>
      </c>
    </row>
    <row r="62" spans="1:5" ht="16" thickBot="1" x14ac:dyDescent="0.3">
      <c r="B62">
        <v>8</v>
      </c>
      <c r="C62" s="124">
        <v>1691</v>
      </c>
    </row>
    <row r="63" spans="1:5" ht="16" thickBot="1" x14ac:dyDescent="0.3">
      <c r="B63">
        <v>9</v>
      </c>
      <c r="C63" s="124">
        <v>1902</v>
      </c>
    </row>
    <row r="64" spans="1:5" ht="16" thickBot="1" x14ac:dyDescent="0.3">
      <c r="B64">
        <v>10</v>
      </c>
      <c r="C64" s="124">
        <v>2113</v>
      </c>
    </row>
    <row r="65" spans="2:4" ht="14.5" thickBot="1" x14ac:dyDescent="0.3">
      <c r="C65" s="125">
        <v>211</v>
      </c>
      <c r="D65" t="s">
        <v>172</v>
      </c>
    </row>
    <row r="67" spans="2:4" x14ac:dyDescent="0.25">
      <c r="D67" t="str">
        <f>CONCATENATE("How to calculate the Max benefit for HH larger than ", MaxBen_MaxCount)</f>
        <v>How to calculate the Max benefit for HH larger than 10</v>
      </c>
    </row>
    <row r="68" spans="2:4" x14ac:dyDescent="0.25">
      <c r="C68" s="54">
        <f>(HH_Total-MaxBen_MaxCount)</f>
        <v>-10</v>
      </c>
      <c r="D68" s="46" t="str">
        <f>IF(HH_Total&gt;MaxBen_MaxCount, CONCATENATE("For a HH of ", HH_Total, " this is how many additional people we need to calculation for "), "HH is not big enough to do this calc properly...")</f>
        <v>HH is not big enough to do this calc properly...</v>
      </c>
    </row>
    <row r="69" spans="2:4" x14ac:dyDescent="0.25">
      <c r="C69" s="54">
        <f>MaxBen_AddCountDollar*(HH_Total-MaxBen_MaxCount)</f>
        <v>-2110</v>
      </c>
      <c r="D69" s="46" t="s">
        <v>166</v>
      </c>
    </row>
    <row r="70" spans="2:4" x14ac:dyDescent="0.25">
      <c r="C70" s="54">
        <f>MaxBen_MaxCountDollar</f>
        <v>2113</v>
      </c>
      <c r="D70" s="46" t="s">
        <v>168</v>
      </c>
    </row>
    <row r="71" spans="2:4" x14ac:dyDescent="0.25">
      <c r="C71" s="54">
        <f>(MaxBen_AddCountDollar*(HH_Total-MaxBen_MaxCount))+MaxBen_MaxCountDollar</f>
        <v>3</v>
      </c>
      <c r="D71" s="46" t="s">
        <v>170</v>
      </c>
    </row>
    <row r="72" spans="2:4" x14ac:dyDescent="0.25">
      <c r="D72" s="46" t="s">
        <v>173</v>
      </c>
    </row>
    <row r="74" spans="2:4" ht="13" x14ac:dyDescent="0.3">
      <c r="B74" s="1" t="s">
        <v>174</v>
      </c>
    </row>
    <row r="75" spans="2:4" x14ac:dyDescent="0.25">
      <c r="C75" s="5">
        <v>0.2</v>
      </c>
    </row>
    <row r="76" spans="2:4" x14ac:dyDescent="0.25">
      <c r="C76" s="5"/>
    </row>
    <row r="78" spans="2:4" ht="13" x14ac:dyDescent="0.3">
      <c r="B78" s="1" t="s">
        <v>175</v>
      </c>
    </row>
    <row r="79" spans="2:4" x14ac:dyDescent="0.25">
      <c r="C79">
        <v>35</v>
      </c>
    </row>
    <row r="82" spans="1:7" ht="13" x14ac:dyDescent="0.3">
      <c r="B82" s="1" t="s">
        <v>176</v>
      </c>
    </row>
    <row r="83" spans="1:7" x14ac:dyDescent="0.25">
      <c r="A83" s="109">
        <v>44854</v>
      </c>
      <c r="B83">
        <v>1</v>
      </c>
      <c r="C83">
        <v>193</v>
      </c>
      <c r="G83" t="s">
        <v>177</v>
      </c>
    </row>
    <row r="84" spans="1:7" x14ac:dyDescent="0.25">
      <c r="A84" s="109"/>
      <c r="B84">
        <v>2</v>
      </c>
      <c r="C84">
        <v>193</v>
      </c>
    </row>
    <row r="85" spans="1:7" x14ac:dyDescent="0.25">
      <c r="A85" s="109"/>
      <c r="B85">
        <v>3</v>
      </c>
      <c r="C85">
        <v>193</v>
      </c>
    </row>
    <row r="86" spans="1:7" x14ac:dyDescent="0.25">
      <c r="A86" s="109"/>
      <c r="B86">
        <v>4</v>
      </c>
      <c r="C86">
        <v>193</v>
      </c>
    </row>
    <row r="87" spans="1:7" x14ac:dyDescent="0.25">
      <c r="A87" s="109"/>
      <c r="B87">
        <v>5</v>
      </c>
      <c r="C87">
        <v>225</v>
      </c>
    </row>
    <row r="88" spans="1:7" x14ac:dyDescent="0.25">
      <c r="A88" s="109"/>
      <c r="B88">
        <v>6</v>
      </c>
      <c r="C88">
        <v>258</v>
      </c>
    </row>
    <row r="90" spans="1:7" ht="13" x14ac:dyDescent="0.3">
      <c r="B90" s="1" t="s">
        <v>178</v>
      </c>
    </row>
    <row r="91" spans="1:7" x14ac:dyDescent="0.25">
      <c r="C91">
        <v>0</v>
      </c>
      <c r="D91" t="s">
        <v>179</v>
      </c>
    </row>
    <row r="92" spans="1:7" x14ac:dyDescent="0.25">
      <c r="C92">
        <v>0</v>
      </c>
      <c r="D92" t="s">
        <v>180</v>
      </c>
    </row>
    <row r="95" spans="1:7" ht="13.5" thickBot="1" x14ac:dyDescent="0.35">
      <c r="A95" s="109"/>
      <c r="B95" s="1" t="s">
        <v>181</v>
      </c>
    </row>
    <row r="96" spans="1:7" ht="16" thickBot="1" x14ac:dyDescent="0.3">
      <c r="A96" s="109">
        <v>44489</v>
      </c>
      <c r="B96">
        <v>1</v>
      </c>
      <c r="C96" s="120">
        <v>1074</v>
      </c>
    </row>
    <row r="97" spans="1:4" ht="16" thickBot="1" x14ac:dyDescent="0.3">
      <c r="A97" s="109"/>
      <c r="B97">
        <v>2</v>
      </c>
      <c r="C97" s="121">
        <v>1452</v>
      </c>
    </row>
    <row r="98" spans="1:4" ht="16" thickBot="1" x14ac:dyDescent="0.3">
      <c r="A98" s="109"/>
      <c r="B98">
        <v>3</v>
      </c>
      <c r="C98" s="121">
        <v>1830</v>
      </c>
    </row>
    <row r="99" spans="1:4" ht="16" thickBot="1" x14ac:dyDescent="0.3">
      <c r="A99" s="109"/>
      <c r="B99">
        <v>4</v>
      </c>
      <c r="C99" s="121">
        <v>2209</v>
      </c>
    </row>
    <row r="100" spans="1:4" ht="16" thickBot="1" x14ac:dyDescent="0.3">
      <c r="A100" s="109"/>
      <c r="B100">
        <v>5</v>
      </c>
      <c r="C100" s="121">
        <v>2587</v>
      </c>
    </row>
    <row r="101" spans="1:4" ht="16" thickBot="1" x14ac:dyDescent="0.3">
      <c r="A101" s="109"/>
      <c r="B101">
        <v>6</v>
      </c>
      <c r="C101" s="121">
        <v>2965</v>
      </c>
    </row>
    <row r="102" spans="1:4" ht="16" thickBot="1" x14ac:dyDescent="0.3">
      <c r="A102" s="109"/>
      <c r="B102">
        <v>7</v>
      </c>
      <c r="C102" s="121">
        <v>3344</v>
      </c>
    </row>
    <row r="103" spans="1:4" ht="16" thickBot="1" x14ac:dyDescent="0.3">
      <c r="A103" s="109"/>
      <c r="B103">
        <v>8</v>
      </c>
      <c r="C103" s="121">
        <v>3722</v>
      </c>
    </row>
    <row r="104" spans="1:4" ht="16" thickBot="1" x14ac:dyDescent="0.3">
      <c r="A104" s="109"/>
      <c r="B104">
        <v>9</v>
      </c>
      <c r="C104" s="121">
        <v>4101</v>
      </c>
    </row>
    <row r="105" spans="1:4" ht="14.5" thickBot="1" x14ac:dyDescent="0.3">
      <c r="A105" s="109"/>
      <c r="B105">
        <v>10</v>
      </c>
      <c r="C105" s="122">
        <v>4480</v>
      </c>
    </row>
    <row r="106" spans="1:4" ht="14.5" thickBot="1" x14ac:dyDescent="0.3">
      <c r="A106" s="109"/>
      <c r="B106">
        <v>11</v>
      </c>
      <c r="C106" s="122">
        <v>379</v>
      </c>
      <c r="D106" t="s">
        <v>172</v>
      </c>
    </row>
    <row r="107" spans="1:4" ht="13" x14ac:dyDescent="0.3">
      <c r="A107" s="109"/>
      <c r="D107" s="1" t="s">
        <v>182</v>
      </c>
    </row>
    <row r="108" spans="1:4" x14ac:dyDescent="0.25">
      <c r="D108" t="s">
        <v>183</v>
      </c>
    </row>
    <row r="109" spans="1:4" x14ac:dyDescent="0.25">
      <c r="D109" s="2" t="s">
        <v>184</v>
      </c>
    </row>
    <row r="111" spans="1:4" x14ac:dyDescent="0.25">
      <c r="D111" t="str">
        <f>CONCATENATE("How to calculate the FPIG Net Income Limit for a HH larger than ", FPIG_Net_Inc_CountMax)</f>
        <v>How to calculate the FPIG Net Income Limit for a HH larger than 10</v>
      </c>
    </row>
    <row r="112" spans="1:4" x14ac:dyDescent="0.25">
      <c r="C112" s="54">
        <f>(HH_Total-FPIG_Net_Inc_CountMax)</f>
        <v>-10</v>
      </c>
      <c r="D112" s="46" t="str">
        <f>IF(HH_Total&gt;FPIG_Net_Inc_CountMax,"This is how many we need to calc for ", "HH is not big enough to do this calc properly...")</f>
        <v>HH is not big enough to do this calc properly...</v>
      </c>
    </row>
    <row r="113" spans="1:7" x14ac:dyDescent="0.25">
      <c r="C113" s="54">
        <f>((HH_Total-FPIG_Net_Inc_CountMax)*FPIG_Net_Inc_CountAdditionalDollar)</f>
        <v>-3790</v>
      </c>
      <c r="D113" s="46" t="s">
        <v>166</v>
      </c>
    </row>
    <row r="114" spans="1:7" x14ac:dyDescent="0.25">
      <c r="C114" s="54">
        <f>FPIG_Net_Inc_CountMaxDollar</f>
        <v>4480</v>
      </c>
      <c r="D114" s="46" t="s">
        <v>168</v>
      </c>
    </row>
    <row r="115" spans="1:7" x14ac:dyDescent="0.25">
      <c r="C115" s="54">
        <f>(((HH_Total-FPIG_Net_Inc_CountMax)*FPIG_Net_Inc_CountAdditionalDollar)+FPIG_Net_Inc_CountMaxDollar)</f>
        <v>690</v>
      </c>
      <c r="D115" s="46" t="s">
        <v>170</v>
      </c>
    </row>
    <row r="116" spans="1:7" x14ac:dyDescent="0.25">
      <c r="C116" s="54"/>
      <c r="D116" s="46"/>
    </row>
    <row r="118" spans="1:7" ht="13" x14ac:dyDescent="0.3">
      <c r="A118" s="109">
        <v>44489</v>
      </c>
      <c r="B118" s="1" t="s">
        <v>141</v>
      </c>
      <c r="D118" s="46"/>
    </row>
    <row r="119" spans="1:7" x14ac:dyDescent="0.25">
      <c r="C119">
        <v>23</v>
      </c>
      <c r="D119" t="s">
        <v>185</v>
      </c>
    </row>
    <row r="121" spans="1:7" ht="13" x14ac:dyDescent="0.3">
      <c r="B121" s="1" t="s">
        <v>186</v>
      </c>
    </row>
    <row r="122" spans="1:7" ht="13" x14ac:dyDescent="0.3">
      <c r="B122" s="1"/>
      <c r="D122" t="s">
        <v>187</v>
      </c>
      <c r="G122" t="s">
        <v>188</v>
      </c>
    </row>
    <row r="123" spans="1:7" x14ac:dyDescent="0.25">
      <c r="A123" s="109">
        <v>44856</v>
      </c>
      <c r="C123">
        <v>624</v>
      </c>
      <c r="D123" t="s">
        <v>189</v>
      </c>
    </row>
    <row r="124" spans="1:7" x14ac:dyDescent="0.25">
      <c r="A124" s="113"/>
    </row>
    <row r="125" spans="1:7" ht="13" x14ac:dyDescent="0.3">
      <c r="A125" s="109">
        <v>44854</v>
      </c>
      <c r="B125" s="1" t="s">
        <v>190</v>
      </c>
      <c r="D125" s="46" t="s">
        <v>191</v>
      </c>
    </row>
    <row r="126" spans="1:7" x14ac:dyDescent="0.25">
      <c r="A126" s="113"/>
      <c r="D126" t="s">
        <v>192</v>
      </c>
    </row>
    <row r="127" spans="1:7" x14ac:dyDescent="0.25">
      <c r="C127">
        <v>167</v>
      </c>
      <c r="D127" t="s">
        <v>193</v>
      </c>
    </row>
    <row r="129" spans="2:5" ht="13" x14ac:dyDescent="0.3">
      <c r="B129" s="1" t="s">
        <v>194</v>
      </c>
    </row>
    <row r="132" spans="2:5" ht="13" x14ac:dyDescent="0.3">
      <c r="B132" s="1" t="s">
        <v>195</v>
      </c>
    </row>
    <row r="133" spans="2:5" x14ac:dyDescent="0.25">
      <c r="C133" s="76">
        <f>HH_Status</f>
        <v>0</v>
      </c>
      <c r="D133" t="s">
        <v>196</v>
      </c>
    </row>
    <row r="135" spans="2:5" ht="13" x14ac:dyDescent="0.3">
      <c r="B135" s="1" t="s">
        <v>197</v>
      </c>
    </row>
    <row r="136" spans="2:5" x14ac:dyDescent="0.25">
      <c r="C136" s="3">
        <v>0</v>
      </c>
      <c r="D136" t="s">
        <v>198</v>
      </c>
      <c r="E136" s="59" t="s">
        <v>199</v>
      </c>
    </row>
    <row r="137" spans="2:5" x14ac:dyDescent="0.25">
      <c r="C137" s="3">
        <v>1</v>
      </c>
      <c r="D137" t="s">
        <v>200</v>
      </c>
      <c r="E137" t="s">
        <v>201</v>
      </c>
    </row>
    <row r="138" spans="2:5" x14ac:dyDescent="0.25">
      <c r="C138" s="3">
        <v>2</v>
      </c>
      <c r="D138" t="s">
        <v>202</v>
      </c>
      <c r="E138" t="s">
        <v>201</v>
      </c>
    </row>
    <row r="139" spans="2:5" ht="13" x14ac:dyDescent="0.3">
      <c r="C139" s="3">
        <v>3</v>
      </c>
      <c r="D139" t="s">
        <v>203</v>
      </c>
    </row>
    <row r="140" spans="2:5" x14ac:dyDescent="0.25">
      <c r="C140" s="3">
        <v>4</v>
      </c>
      <c r="D140" t="s">
        <v>204</v>
      </c>
      <c r="E140" t="s">
        <v>201</v>
      </c>
    </row>
    <row r="141" spans="2:5" ht="13" x14ac:dyDescent="0.3">
      <c r="C141" s="3">
        <v>5</v>
      </c>
      <c r="D141" t="s">
        <v>205</v>
      </c>
    </row>
    <row r="142" spans="2:5" ht="13" x14ac:dyDescent="0.3">
      <c r="C142" s="3">
        <v>6</v>
      </c>
      <c r="D142" t="s">
        <v>206</v>
      </c>
    </row>
    <row r="143" spans="2:5" ht="13" x14ac:dyDescent="0.3">
      <c r="C143" s="3">
        <v>7</v>
      </c>
      <c r="D143" t="s">
        <v>207</v>
      </c>
    </row>
    <row r="145" spans="2:6" ht="13" x14ac:dyDescent="0.3">
      <c r="B145" s="1" t="s">
        <v>208</v>
      </c>
    </row>
    <row r="146" spans="2:6" x14ac:dyDescent="0.25">
      <c r="C146" s="3">
        <v>0</v>
      </c>
      <c r="D146" t="str">
        <f>CONCATENATE("The Total Excess Shelter Deduction is capped at  $", XS_Shelter_Max)</f>
        <v>The Total Excess Shelter Deduction is capped at  $624</v>
      </c>
      <c r="E146" t="s">
        <v>198</v>
      </c>
      <c r="F146" s="59" t="s">
        <v>199</v>
      </c>
    </row>
    <row r="147" spans="2:6" x14ac:dyDescent="0.25">
      <c r="C147" s="3">
        <v>1</v>
      </c>
      <c r="D147" t="s">
        <v>209</v>
      </c>
      <c r="E147" t="s">
        <v>198</v>
      </c>
      <c r="F147" s="59" t="s">
        <v>199</v>
      </c>
    </row>
    <row r="148" spans="2:6" x14ac:dyDescent="0.25">
      <c r="C148" s="3">
        <v>2</v>
      </c>
      <c r="D148" t="str">
        <f>CONCATENATE("Because the HH is Homeless, the mimimum XS Shelter Deduction is  $", XS_Shelter_Homeless)</f>
        <v>Because the HH is Homeless, the mimimum XS Shelter Deduction is  $167</v>
      </c>
      <c r="E148" t="str">
        <f>CONCATENATE("The Total Excess Shelter Deduction is capped at  $", XS_Shelter_Max)</f>
        <v>The Total Excess Shelter Deduction is capped at  $624</v>
      </c>
    </row>
    <row r="149" spans="2:6" x14ac:dyDescent="0.25">
      <c r="C149" s="3">
        <v>3</v>
      </c>
      <c r="D149" t="s">
        <v>209</v>
      </c>
      <c r="E149" t="str">
        <f>CONCATENATE("Because the HH is Homeless, the mimimum Excess Shelter Deduction is  $", XS_Shelter_Homeless)</f>
        <v>Because the HH is Homeless, the mimimum Excess Shelter Deduction is  $167</v>
      </c>
    </row>
    <row r="150" spans="2:6" x14ac:dyDescent="0.25">
      <c r="C150" s="3">
        <v>4</v>
      </c>
      <c r="D150" t="str">
        <f>CONCATENATE("The Total Excess Shelter Deduction is capped at  $", XS_Shelter_Max)</f>
        <v>The Total Excess Shelter Deduction is capped at  $624</v>
      </c>
      <c r="E150" t="s">
        <v>198</v>
      </c>
      <c r="F150" s="59" t="s">
        <v>199</v>
      </c>
    </row>
    <row r="151" spans="2:6" x14ac:dyDescent="0.25">
      <c r="C151" s="3">
        <v>5</v>
      </c>
      <c r="D151" t="s">
        <v>209</v>
      </c>
      <c r="E151" t="s">
        <v>198</v>
      </c>
      <c r="F151" s="59" t="s">
        <v>199</v>
      </c>
    </row>
    <row r="152" spans="2:6" x14ac:dyDescent="0.25">
      <c r="B152" s="7"/>
      <c r="C152" s="3">
        <v>6</v>
      </c>
      <c r="D152" t="str">
        <f>CONCATENATE("Because the HH is Homeless, the minimum Excess Shelter Deduction is  $", XS_Shelter_Homeless)</f>
        <v>Because the HH is Homeless, the minimum Excess Shelter Deduction is  $167</v>
      </c>
      <c r="E152" t="str">
        <f>CONCATENATE("The Total Excess Shelter Deduction is capped at  $", XS_Shelter_Max)</f>
        <v>The Total Excess Shelter Deduction is capped at  $624</v>
      </c>
    </row>
    <row r="153" spans="2:6" x14ac:dyDescent="0.25">
      <c r="C153" s="3">
        <v>7</v>
      </c>
      <c r="D153" t="s">
        <v>210</v>
      </c>
      <c r="E153" t="str">
        <f>CONCATENATE("Because the HH is Homeless, the minimum Excess Shelter Deduction is  $", XS_Shelter_Homeless)</f>
        <v>Because the HH is Homeless, the minimum Excess Shelter Deduction is  $167</v>
      </c>
    </row>
    <row r="156" spans="2:6" ht="13" x14ac:dyDescent="0.3">
      <c r="B156" s="1" t="s">
        <v>211</v>
      </c>
      <c r="C156" s="9"/>
    </row>
    <row r="157" spans="2:6" ht="15.5" x14ac:dyDescent="0.35">
      <c r="B157" s="63"/>
      <c r="C157" s="3">
        <v>0</v>
      </c>
      <c r="D157" s="64" t="e">
        <f>MAX(0,MIN(XS_ShelterCosts_Adj, XS_Shelter_Max))</f>
        <v>#VALUE!</v>
      </c>
      <c r="E157" t="s">
        <v>212</v>
      </c>
    </row>
    <row r="158" spans="2:6" x14ac:dyDescent="0.25">
      <c r="C158" s="3">
        <v>1</v>
      </c>
      <c r="D158" s="64" t="e">
        <f>MAX(0,XS_ShelterCosts_Adj)</f>
        <v>#VALUE!</v>
      </c>
      <c r="E158" t="s">
        <v>213</v>
      </c>
    </row>
    <row r="159" spans="2:6" ht="15.5" x14ac:dyDescent="0.35">
      <c r="B159" s="63"/>
      <c r="C159" s="3">
        <v>2</v>
      </c>
      <c r="D159" s="110">
        <f>XS_Shelter_Homeless</f>
        <v>167</v>
      </c>
      <c r="E159" t="s">
        <v>214</v>
      </c>
    </row>
    <row r="160" spans="2:6" ht="15.5" x14ac:dyDescent="0.35">
      <c r="B160" s="63"/>
      <c r="C160" s="3">
        <v>3</v>
      </c>
      <c r="D160" s="110">
        <f>XS_Shelter_Homeless</f>
        <v>167</v>
      </c>
      <c r="E160" t="s">
        <v>215</v>
      </c>
    </row>
    <row r="161" spans="2:5" x14ac:dyDescent="0.25">
      <c r="C161" s="3">
        <v>4</v>
      </c>
      <c r="D161" s="64" t="e">
        <f>MAX(0,MIN(XS_ShelterCosts_Adj, XS_Shelter_Max))</f>
        <v>#VALUE!</v>
      </c>
      <c r="E161" t="s">
        <v>216</v>
      </c>
    </row>
    <row r="162" spans="2:5" ht="15.5" x14ac:dyDescent="0.35">
      <c r="B162" s="63"/>
      <c r="C162" s="3">
        <v>5</v>
      </c>
      <c r="D162" s="64" t="e">
        <f>MAX(0,XS_ShelterCosts_Adj)</f>
        <v>#VALUE!</v>
      </c>
      <c r="E162" t="s">
        <v>213</v>
      </c>
    </row>
    <row r="163" spans="2:5" ht="15.5" x14ac:dyDescent="0.35">
      <c r="B163" s="63"/>
      <c r="C163" s="3">
        <v>6</v>
      </c>
      <c r="D163" s="110">
        <f>XS_Shelter_Homeless</f>
        <v>167</v>
      </c>
      <c r="E163" t="s">
        <v>214</v>
      </c>
    </row>
    <row r="164" spans="2:5" x14ac:dyDescent="0.25">
      <c r="C164" s="3">
        <v>7</v>
      </c>
      <c r="D164" s="110">
        <f>XS_Shelter_Homeless</f>
        <v>167</v>
      </c>
      <c r="E164" t="s">
        <v>215</v>
      </c>
    </row>
    <row r="165" spans="2:5" ht="15.5" x14ac:dyDescent="0.35">
      <c r="B165" s="63"/>
      <c r="C165" s="28"/>
      <c r="D165" s="66"/>
    </row>
    <row r="166" spans="2:5" ht="15.5" x14ac:dyDescent="0.35">
      <c r="B166" s="63"/>
      <c r="C166" s="3"/>
    </row>
    <row r="167" spans="2:5" ht="15.5" x14ac:dyDescent="0.35">
      <c r="B167" s="63"/>
      <c r="C167" s="3"/>
    </row>
    <row r="168" spans="2:5" x14ac:dyDescent="0.25">
      <c r="C168" s="3"/>
    </row>
    <row r="169" spans="2:5" x14ac:dyDescent="0.25">
      <c r="C169" s="3"/>
    </row>
    <row r="170" spans="2:5" x14ac:dyDescent="0.25">
      <c r="C170" s="3"/>
    </row>
  </sheetData>
  <sheetProtection sheet="1" formatCells="0" formatColumns="0" formatRows="0" insertColumns="0" insertRows="0" insertHyperlinks="0" deleteColumns="0" deleteRows="0" selectLockedCells="1" sort="0"/>
  <phoneticPr fontId="5" type="noConversion"/>
  <conditionalFormatting sqref="C157:C164 C146:C153 C136:C143">
    <cfRule type="cellIs" dxfId="2" priority="1" stopIfTrue="1" operator="equal">
      <formula>$C$133</formula>
    </cfRule>
  </conditionalFormatting>
  <conditionalFormatting sqref="B55:B64 B83:B87 B96:B105 B16:B25 B36:B45">
    <cfRule type="cellIs" dxfId="1" priority="2" stopIfTrue="1" operator="equal">
      <formula>$C$13</formula>
    </cfRule>
  </conditionalFormatting>
  <conditionalFormatting sqref="B65 B88 B106 B26 B46">
    <cfRule type="cellIs" dxfId="0" priority="3" stopIfTrue="1" operator="lessThanOrEqual">
      <formula>$C$13</formula>
    </cfRule>
  </conditionalFormatting>
  <hyperlinks>
    <hyperlink ref="D109" r:id="rId1" xr:uid="{00000000-0004-0000-0200-000000000000}"/>
  </hyperlinks>
  <pageMargins left="0.75" right="0.75" top="1" bottom="1" header="0.5" footer="0.5"/>
  <pageSetup orientation="portrait" r:id="rId2"/>
  <headerFooter alignWithMargins="0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9"/>
  <sheetViews>
    <sheetView topLeftCell="A7" workbookViewId="0">
      <selection activeCell="A23" sqref="A23"/>
    </sheetView>
  </sheetViews>
  <sheetFormatPr defaultRowHeight="12.5" x14ac:dyDescent="0.25"/>
  <cols>
    <col min="1" max="1" width="11.54296875" customWidth="1"/>
    <col min="2" max="2" width="43.54296875" customWidth="1"/>
    <col min="3" max="3" width="70" customWidth="1"/>
  </cols>
  <sheetData>
    <row r="1" spans="1:2" x14ac:dyDescent="0.25">
      <c r="A1" t="s">
        <v>151</v>
      </c>
    </row>
    <row r="3" spans="1:2" x14ac:dyDescent="0.25">
      <c r="A3" s="98">
        <v>39864</v>
      </c>
      <c r="B3" t="s">
        <v>217</v>
      </c>
    </row>
    <row r="4" spans="1:2" x14ac:dyDescent="0.25">
      <c r="B4" t="s">
        <v>218</v>
      </c>
    </row>
    <row r="5" spans="1:2" x14ac:dyDescent="0.25">
      <c r="B5" t="s">
        <v>219</v>
      </c>
    </row>
    <row r="7" spans="1:2" x14ac:dyDescent="0.25">
      <c r="A7" s="98">
        <v>40021</v>
      </c>
      <c r="B7" t="s">
        <v>220</v>
      </c>
    </row>
    <row r="8" spans="1:2" x14ac:dyDescent="0.25">
      <c r="A8" s="98">
        <v>40021</v>
      </c>
      <c r="B8" t="s">
        <v>221</v>
      </c>
    </row>
    <row r="9" spans="1:2" x14ac:dyDescent="0.25">
      <c r="A9" s="98">
        <v>40023</v>
      </c>
      <c r="B9" t="s">
        <v>222</v>
      </c>
    </row>
    <row r="10" spans="1:2" x14ac:dyDescent="0.25">
      <c r="A10" s="98">
        <v>40025</v>
      </c>
      <c r="B10" t="s">
        <v>223</v>
      </c>
    </row>
    <row r="11" spans="1:2" x14ac:dyDescent="0.25">
      <c r="A11" s="98">
        <v>40025</v>
      </c>
      <c r="B11" t="s">
        <v>224</v>
      </c>
    </row>
    <row r="12" spans="1:2" x14ac:dyDescent="0.25">
      <c r="A12" s="98">
        <v>40025</v>
      </c>
      <c r="B12" t="s">
        <v>225</v>
      </c>
    </row>
    <row r="13" spans="1:2" x14ac:dyDescent="0.25">
      <c r="A13" s="98">
        <v>40064</v>
      </c>
      <c r="B13" t="s">
        <v>226</v>
      </c>
    </row>
    <row r="14" spans="1:2" x14ac:dyDescent="0.25">
      <c r="A14" s="98">
        <v>40085</v>
      </c>
      <c r="B14" t="s">
        <v>227</v>
      </c>
    </row>
    <row r="15" spans="1:2" x14ac:dyDescent="0.25">
      <c r="A15" s="98">
        <v>40085</v>
      </c>
      <c r="B15" t="s">
        <v>228</v>
      </c>
    </row>
    <row r="16" spans="1:2" x14ac:dyDescent="0.25">
      <c r="A16" s="98">
        <v>40808</v>
      </c>
      <c r="B16" t="s">
        <v>229</v>
      </c>
    </row>
    <row r="17" spans="1:2" x14ac:dyDescent="0.25">
      <c r="A17" s="98">
        <v>40808</v>
      </c>
      <c r="B17" t="s">
        <v>230</v>
      </c>
    </row>
    <row r="18" spans="1:2" x14ac:dyDescent="0.25">
      <c r="A18" s="98">
        <v>41178</v>
      </c>
      <c r="B18" t="s">
        <v>231</v>
      </c>
    </row>
    <row r="19" spans="1:2" x14ac:dyDescent="0.25">
      <c r="A19" s="98"/>
    </row>
    <row r="20" spans="1:2" x14ac:dyDescent="0.25">
      <c r="A20" s="98"/>
    </row>
    <row r="21" spans="1:2" x14ac:dyDescent="0.25">
      <c r="A21" s="98">
        <v>41911</v>
      </c>
    </row>
    <row r="22" spans="1:2" x14ac:dyDescent="0.25">
      <c r="A22" s="98">
        <v>43735</v>
      </c>
      <c r="B22" t="s">
        <v>232</v>
      </c>
    </row>
    <row r="23" spans="1:2" x14ac:dyDescent="0.25">
      <c r="A23" s="98"/>
    </row>
    <row r="24" spans="1:2" x14ac:dyDescent="0.25">
      <c r="A24" s="98"/>
    </row>
    <row r="25" spans="1:2" x14ac:dyDescent="0.25">
      <c r="A25" s="98"/>
    </row>
    <row r="26" spans="1:2" x14ac:dyDescent="0.25">
      <c r="A26" s="98"/>
    </row>
    <row r="27" spans="1:2" x14ac:dyDescent="0.25">
      <c r="A27" s="98"/>
    </row>
    <row r="28" spans="1:2" x14ac:dyDescent="0.25">
      <c r="A28" s="98"/>
    </row>
    <row r="29" spans="1:2" x14ac:dyDescent="0.25">
      <c r="A29" s="98"/>
    </row>
    <row r="30" spans="1:2" x14ac:dyDescent="0.25">
      <c r="A30" s="98"/>
    </row>
    <row r="31" spans="1:2" x14ac:dyDescent="0.25">
      <c r="A31" s="98"/>
    </row>
    <row r="32" spans="1:2" x14ac:dyDescent="0.25">
      <c r="A32" s="98"/>
    </row>
    <row r="33" spans="1:1" x14ac:dyDescent="0.25">
      <c r="A33" s="98"/>
    </row>
    <row r="34" spans="1:1" x14ac:dyDescent="0.25">
      <c r="A34" s="98"/>
    </row>
    <row r="35" spans="1:1" x14ac:dyDescent="0.25">
      <c r="A35" s="98"/>
    </row>
    <row r="36" spans="1:1" x14ac:dyDescent="0.25">
      <c r="A36" s="98"/>
    </row>
    <row r="37" spans="1:1" x14ac:dyDescent="0.25">
      <c r="A37" s="98"/>
    </row>
    <row r="38" spans="1:1" x14ac:dyDescent="0.25">
      <c r="A38" s="98"/>
    </row>
    <row r="39" spans="1:1" x14ac:dyDescent="0.25">
      <c r="A39" s="98"/>
    </row>
    <row r="40" spans="1:1" x14ac:dyDescent="0.25">
      <c r="A40" s="98"/>
    </row>
    <row r="41" spans="1:1" x14ac:dyDescent="0.25">
      <c r="A41" s="98"/>
    </row>
    <row r="42" spans="1:1" x14ac:dyDescent="0.25">
      <c r="A42" s="98"/>
    </row>
    <row r="43" spans="1:1" x14ac:dyDescent="0.25">
      <c r="A43" s="98"/>
    </row>
    <row r="44" spans="1:1" x14ac:dyDescent="0.25">
      <c r="A44" s="98"/>
    </row>
    <row r="45" spans="1:1" x14ac:dyDescent="0.25">
      <c r="A45" s="98"/>
    </row>
    <row r="46" spans="1:1" x14ac:dyDescent="0.25">
      <c r="A46" s="98"/>
    </row>
    <row r="47" spans="1:1" x14ac:dyDescent="0.25">
      <c r="A47" s="98"/>
    </row>
    <row r="48" spans="1:1" x14ac:dyDescent="0.25">
      <c r="A48" s="98"/>
    </row>
    <row r="49" spans="1:1" x14ac:dyDescent="0.25">
      <c r="A49" s="98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96</vt:i4>
      </vt:variant>
    </vt:vector>
  </HeadingPairs>
  <TitlesOfParts>
    <vt:vector size="100" baseType="lpstr">
      <vt:lpstr>FSCalculator</vt:lpstr>
      <vt:lpstr>Help</vt:lpstr>
      <vt:lpstr>Data</vt:lpstr>
      <vt:lpstr>Notes</vt:lpstr>
      <vt:lpstr>_EditDate</vt:lpstr>
      <vt:lpstr>BenefitCalc_Final</vt:lpstr>
      <vt:lpstr>BenefitCalc_Initial</vt:lpstr>
      <vt:lpstr>Calculated_Benefit</vt:lpstr>
      <vt:lpstr>CashOnHand</vt:lpstr>
      <vt:lpstr>DCA_OverTwoElderly</vt:lpstr>
      <vt:lpstr>DCA_TwoAndUnder</vt:lpstr>
      <vt:lpstr>EarnedIncomeDisregard</vt:lpstr>
      <vt:lpstr>FPIG_Net_Inc_CountAdditional</vt:lpstr>
      <vt:lpstr>FPIG_Net_Inc_CountAdditionalDollar</vt:lpstr>
      <vt:lpstr>FPIG_Net_Inc_CountMax</vt:lpstr>
      <vt:lpstr>FPIG_Net_Inc_CountMaxDollar</vt:lpstr>
      <vt:lpstr>FPIG_Net_Inc_Limit_Table</vt:lpstr>
      <vt:lpstr>GrIncLimCalc</vt:lpstr>
      <vt:lpstr>GrIncLimCalcELD</vt:lpstr>
      <vt:lpstr>Gross_Add_Count</vt:lpstr>
      <vt:lpstr>Gross_Add_DollarELD</vt:lpstr>
      <vt:lpstr>Gross_Inc_CountMax</vt:lpstr>
      <vt:lpstr>Gross_Inc_CountMaxDollarELD</vt:lpstr>
      <vt:lpstr>Gross_Inc_CountMaxELD</vt:lpstr>
      <vt:lpstr>Gross_Inc_HH</vt:lpstr>
      <vt:lpstr>Gross_Inc_Limit</vt:lpstr>
      <vt:lpstr>Gross_Income_Limit_Table</vt:lpstr>
      <vt:lpstr>Help_Calc_XS_Shelter</vt:lpstr>
      <vt:lpstr>Help_Def_Monthly_Gross_Earned_Income</vt:lpstr>
      <vt:lpstr>Help_Def_of_Disabled</vt:lpstr>
      <vt:lpstr>Help_Def_of_Elderly</vt:lpstr>
      <vt:lpstr>Help_Def_of_HH</vt:lpstr>
      <vt:lpstr>Help_Def_of_Homeless</vt:lpstr>
      <vt:lpstr>Help_MaxBenefit_and_StdDisregard_Table</vt:lpstr>
      <vt:lpstr>Help_Medical_Expenses</vt:lpstr>
      <vt:lpstr>Help_Other_Types_of_Income</vt:lpstr>
      <vt:lpstr>Help_SUA</vt:lpstr>
      <vt:lpstr>HH_CatElig</vt:lpstr>
      <vt:lpstr>HH_EldCode</vt:lpstr>
      <vt:lpstr>HH_ElderlyDisabled</vt:lpstr>
      <vt:lpstr>HH_EveryMemberIS</vt:lpstr>
      <vt:lpstr>HH_EveryMemberISCode</vt:lpstr>
      <vt:lpstr>HH_Homeless</vt:lpstr>
      <vt:lpstr>HH_HomelessCode</vt:lpstr>
      <vt:lpstr>HH_Status</vt:lpstr>
      <vt:lpstr>HH_StatusTable</vt:lpstr>
      <vt:lpstr>HH_Total</vt:lpstr>
      <vt:lpstr>Max_Benefit_Table</vt:lpstr>
      <vt:lpstr>MaxBen_AddCount</vt:lpstr>
      <vt:lpstr>MaxBen_AddCountDollar</vt:lpstr>
      <vt:lpstr>MaxBen_MaxCount</vt:lpstr>
      <vt:lpstr>MaxBen_MaxCountDollar</vt:lpstr>
      <vt:lpstr>Min_Benefit</vt:lpstr>
      <vt:lpstr>MinBenCalc</vt:lpstr>
      <vt:lpstr>MinBenTest_Part1</vt:lpstr>
      <vt:lpstr>MinBenTest_Part2</vt:lpstr>
      <vt:lpstr>Monthly_Adj_Medical_Exp</vt:lpstr>
      <vt:lpstr>Monthly_All_Income</vt:lpstr>
      <vt:lpstr>Monthly_CourtChildSupport</vt:lpstr>
      <vt:lpstr>Monthly_DepCare_Deduction</vt:lpstr>
      <vt:lpstr>Monthly_MedicalExpenses</vt:lpstr>
      <vt:lpstr>Monthly_SD_for_HH</vt:lpstr>
      <vt:lpstr>Monthly_UI_Total</vt:lpstr>
      <vt:lpstr>MonthlyDisregardPercentage</vt:lpstr>
      <vt:lpstr>MonthlyGrossEarnedIncome</vt:lpstr>
      <vt:lpstr>MonthlyMedicalAllowance</vt:lpstr>
      <vt:lpstr>MonthlyNetEarnedIncome</vt:lpstr>
      <vt:lpstr>NN_Net_Income_Limit</vt:lpstr>
      <vt:lpstr>Other_Types_of_Income</vt:lpstr>
      <vt:lpstr>FSCalculator!Print_Area</vt:lpstr>
      <vt:lpstr>Print_CalcOutput</vt:lpstr>
      <vt:lpstr>ProceedStop</vt:lpstr>
      <vt:lpstr>SD_Table</vt:lpstr>
      <vt:lpstr>SUA</vt:lpstr>
      <vt:lpstr>SUA_Heat</vt:lpstr>
      <vt:lpstr>SUA_Ltd</vt:lpstr>
      <vt:lpstr>SUA_None</vt:lpstr>
      <vt:lpstr>SUA_NonHeat</vt:lpstr>
      <vt:lpstr>SUA_Pay1Util</vt:lpstr>
      <vt:lpstr>SUA_Pay2Util</vt:lpstr>
      <vt:lpstr>SUA_PayHeat</vt:lpstr>
      <vt:lpstr>SUA_PayPhoneOnly</vt:lpstr>
      <vt:lpstr>SUA_Tel</vt:lpstr>
      <vt:lpstr>SUATable</vt:lpstr>
      <vt:lpstr>Top</vt:lpstr>
      <vt:lpstr>Total_Adj_Income_HALF_OF</vt:lpstr>
      <vt:lpstr>Total_Adjusted_Income</vt:lpstr>
      <vt:lpstr>Total_MaxMonthly_HHBenefit</vt:lpstr>
      <vt:lpstr>Total_Net_Income</vt:lpstr>
      <vt:lpstr>Total_ThirdofTotalNetIncome</vt:lpstr>
      <vt:lpstr>Total_Unadj_ShelterCosts</vt:lpstr>
      <vt:lpstr>Total_XS_Shelter_Deduction</vt:lpstr>
      <vt:lpstr>XS_MonthlyFire</vt:lpstr>
      <vt:lpstr>XS_MonthlyPropertyTax</vt:lpstr>
      <vt:lpstr>XS_MonthlyRentMortg</vt:lpstr>
      <vt:lpstr>XS_Shelter_Homeless</vt:lpstr>
      <vt:lpstr>XS_Shelter_Max</vt:lpstr>
      <vt:lpstr>XS_ShelterCosts_Adj</vt:lpstr>
      <vt:lpstr>XS_ShelterDedTable</vt:lpstr>
      <vt:lpstr>XS_ShelterTable</vt:lpstr>
    </vt:vector>
  </TitlesOfParts>
  <Manager/>
  <Company>Community Legal Services,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Stamp Calculator</dc:title>
  <dc:subject/>
  <dc:creator>Community Legal Services, Inc.</dc:creator>
  <cp:keywords/>
  <dc:description>August 2009</dc:description>
  <cp:lastModifiedBy>Louise Hayes</cp:lastModifiedBy>
  <cp:revision/>
  <dcterms:created xsi:type="dcterms:W3CDTF">2006-10-19T13:19:06Z</dcterms:created>
  <dcterms:modified xsi:type="dcterms:W3CDTF">2022-09-30T13:32:21Z</dcterms:modified>
  <cp:category/>
  <cp:contentStatus/>
</cp:coreProperties>
</file>